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MAU 93-ck (2)" sheetId="1" r:id="rId1"/>
    <sheet name="MAU 94-ck (4)" sheetId="2" r:id="rId2"/>
    <sheet name="MAU 95-CK " sheetId="3" r:id="rId3"/>
  </sheets>
  <definedNames>
    <definedName name="_xlnm.Print_Titles" localSheetId="0">'MAU 93-ck (2)'!$9:$10</definedName>
    <definedName name="_xlnm.Print_Titles" localSheetId="1">'MAU 94-ck (4)'!$9:$10</definedName>
    <definedName name="_xlnm.Print_Titles" localSheetId="2">'MAU 95-CK '!$10:$11</definedName>
  </definedNames>
  <calcPr fullCalcOnLoad="1"/>
</workbook>
</file>

<file path=xl/comments2.xml><?xml version="1.0" encoding="utf-8"?>
<comments xmlns="http://schemas.openxmlformats.org/spreadsheetml/2006/main">
  <authors>
    <author>PhongVuBienHoa</author>
  </authors>
  <commentList>
    <comment ref="D21" authorId="0">
      <text>
        <r>
          <rPr>
            <b/>
            <sz val="8"/>
            <rFont val="Tahoma"/>
            <family val="2"/>
          </rPr>
          <t>PhongVuBienHoa:</t>
        </r>
        <r>
          <rPr>
            <sz val="8"/>
            <rFont val="Tahoma"/>
            <family val="2"/>
          </rPr>
          <t xml:space="preserve">
của xã tp ko hưởng </t>
        </r>
      </text>
    </comment>
  </commentList>
</comments>
</file>

<file path=xl/sharedStrings.xml><?xml version="1.0" encoding="utf-8"?>
<sst xmlns="http://schemas.openxmlformats.org/spreadsheetml/2006/main" count="246" uniqueCount="190">
  <si>
    <t>STT</t>
  </si>
  <si>
    <t>A</t>
  </si>
  <si>
    <t>B</t>
  </si>
  <si>
    <t>Nội dung</t>
  </si>
  <si>
    <t>3=2/1</t>
  </si>
  <si>
    <t>I</t>
  </si>
  <si>
    <t>Chi đầu tư phát triển</t>
  </si>
  <si>
    <t>Dự phòng ngân sách</t>
  </si>
  <si>
    <t>II</t>
  </si>
  <si>
    <t>III</t>
  </si>
  <si>
    <t>Lệ phí trước bạ</t>
  </si>
  <si>
    <t>C</t>
  </si>
  <si>
    <t>Ngấn sách cấp huyện</t>
  </si>
  <si>
    <t>IV</t>
  </si>
  <si>
    <t>Biểu số 93/CK-NSNN</t>
  </si>
  <si>
    <t>CỘNG HÒA XÃ HỘI CHỦ NGHĨA VIỆT NAM</t>
  </si>
  <si>
    <t>Độc Lập - Tự do- Hạnh Phúc</t>
  </si>
  <si>
    <t>CÂN ĐỐI NGÂN SÁCH THÀNH PHỐ BIÊN HÒA</t>
  </si>
  <si>
    <t>a</t>
  </si>
  <si>
    <t>b</t>
  </si>
  <si>
    <t>Tỉnh thu thành phố hưởng</t>
  </si>
  <si>
    <t>Chi cân đối ngân sách thành phố</t>
  </si>
  <si>
    <t xml:space="preserve">Chi thường xuyên </t>
  </si>
  <si>
    <t>trong đó: cấp thành phố</t>
  </si>
  <si>
    <t>Thuế bảo vệ môi trường</t>
  </si>
  <si>
    <t>Thu khác ngân sách</t>
  </si>
  <si>
    <t>Thu kết dư ngân sách năm trước</t>
  </si>
  <si>
    <t>Thu bổ sung từ ngân sách cấp trên</t>
  </si>
  <si>
    <t>D</t>
  </si>
  <si>
    <t>Biểu số 95/CK-NSNN</t>
  </si>
  <si>
    <t>THỰC HIỆN CHI NGÂN SÁCH THÀNH PHỐ BIÊN HÒA</t>
  </si>
  <si>
    <t>Chi quốc phòng</t>
  </si>
  <si>
    <t>Chi thường xuyên</t>
  </si>
  <si>
    <t>Khối phường xã</t>
  </si>
  <si>
    <t>Thu kết dư năm trước chuyển sang</t>
  </si>
  <si>
    <t>UBND THÀNH PHỐ BIÊN HÒA</t>
  </si>
  <si>
    <t>PHÒNG TÀI CHÍNH KẾ HOẠCH</t>
  </si>
  <si>
    <t>Chi XDCB nguồn vốn tập trung</t>
  </si>
  <si>
    <t>Chi XDCB nguồn thu tiền sử dụng đất</t>
  </si>
  <si>
    <t>Chi XDCB nguồn xổ sổ kiến thiết</t>
  </si>
  <si>
    <t>Chi tạo nguồn cải cách tiền lương</t>
  </si>
  <si>
    <t xml:space="preserve">Thu cân đối ngân sách thành phố </t>
  </si>
  <si>
    <t>Thu Nội đia</t>
  </si>
  <si>
    <t>Chi đầu tư XDCB</t>
  </si>
  <si>
    <t>Thu quản lý qua ngân sách</t>
  </si>
  <si>
    <t>Chi XDCB khác</t>
  </si>
  <si>
    <t>Thu chuyển nguồn từ năm trước chuyển sang</t>
  </si>
  <si>
    <t>TỔNG CHI NGÂN SÁCH HUYỆN (I+II+III)</t>
  </si>
  <si>
    <t>Tạm chi chưa đưa vào cân đối NS</t>
  </si>
  <si>
    <t>TỔNG NGUỒN THU NSNN TRÊN ĐỊA BÀN ( I+II)</t>
  </si>
  <si>
    <t>-</t>
  </si>
  <si>
    <t>Chi đầu tư phát triển NS thành phố</t>
  </si>
  <si>
    <t>Chi XDCB NS phường xã</t>
  </si>
  <si>
    <t>V</t>
  </si>
  <si>
    <t>Chi khác XDCB ( chuyển vốn ủy thác)</t>
  </si>
  <si>
    <t>Trong đó: nếu loại trừ tiền sử dụng đất</t>
  </si>
  <si>
    <t xml:space="preserve">Chi nộp ngân sách cấp trên </t>
  </si>
  <si>
    <t>Chi chuyển giao ngân sách ( bs ngân sách cấp dưới)</t>
  </si>
  <si>
    <t>Dự toán năm 2022</t>
  </si>
  <si>
    <t>Chi đầu tư phát triển khác</t>
  </si>
  <si>
    <t>Độc Lập - Tự do - Hạnh phúc</t>
  </si>
  <si>
    <t>% ước thực hiệnthu địa bàn / DT 2022</t>
  </si>
  <si>
    <t>% ước thực hiện thu điều tiết năm / DT 2022</t>
  </si>
  <si>
    <t>Thu trên địa bàn</t>
  </si>
  <si>
    <t>Thu điều tiết</t>
  </si>
  <si>
    <t>Dự toán thu trên địa bàn</t>
  </si>
  <si>
    <t>5=3/1</t>
  </si>
  <si>
    <t>6=4/2</t>
  </si>
  <si>
    <t>9=7/1</t>
  </si>
  <si>
    <t>10=8/2</t>
  </si>
  <si>
    <t xml:space="preserve">TỔNG THU NSNN TRÊN ĐỊA BÀN (I+II+III+IV) </t>
  </si>
  <si>
    <t>Thu từ khu vực kinh tế ngoài quốc doanh</t>
  </si>
  <si>
    <t>- Thuế giá trị gia tăng</t>
  </si>
  <si>
    <t>- Thuế thu nhập doanh nghiệp</t>
  </si>
  <si>
    <t>- Thuế tiêu thụ đặc biệt</t>
  </si>
  <si>
    <t>Trong đó: Thu từ cơ sở kinh doanh nhập khẩu tiếp tục bán ra trong nước</t>
  </si>
  <si>
    <t>- Thuế tài nguyên</t>
  </si>
  <si>
    <t>Thuế sử dụng đất nông nghiệp</t>
  </si>
  <si>
    <t>Thuế sử dụng đất phi nông nghiệp</t>
  </si>
  <si>
    <t>Thuế CQSDĐ</t>
  </si>
  <si>
    <t>Thuế thu nhập cá nhân</t>
  </si>
  <si>
    <t>Phí, lệ phí</t>
  </si>
  <si>
    <t>- Phí, lệ phí do cơ quan nhà nước địa phương thu</t>
  </si>
  <si>
    <t>Tiền sử dụng đất</t>
  </si>
  <si>
    <t>Thu tiền thuê đất, mặt nước</t>
  </si>
  <si>
    <t>Thu từ bán tài sản nhà nước</t>
  </si>
  <si>
    <t xml:space="preserve">                - Do địa phương quản lý</t>
  </si>
  <si>
    <t>Thu tiền cho thuê và bán nhà ở thuộc sở hữu nhà nước</t>
  </si>
  <si>
    <t>Trong cân đối</t>
  </si>
  <si>
    <t>Thu từ quỹ đất công ích và thu hoa lợi công sản khác</t>
  </si>
  <si>
    <t>Thu các quyền khai thác khoáng sản</t>
  </si>
  <si>
    <t>Thu từ hoạt động xổ số kiến thiết (kể cả hoạt động xổ số điện toán)</t>
  </si>
  <si>
    <t>THU TỪ DẦU THÔ</t>
  </si>
  <si>
    <t>Nhiệm vụ tỉnh thu thành phố hưởng</t>
  </si>
  <si>
    <t>Thuế thu nhập doanh nghiệp</t>
  </si>
  <si>
    <t>Thuế giá trị gia tăng</t>
  </si>
  <si>
    <t>Thuế tiêu thụ đặc biệt</t>
  </si>
  <si>
    <t>Thuế tài nguyên</t>
  </si>
  <si>
    <t>Các sắc thuế còn lại</t>
  </si>
  <si>
    <t>Thu bổ sung từ ngân sách tỉnh</t>
  </si>
  <si>
    <t>- Thu bổ sung cân đối</t>
  </si>
  <si>
    <t xml:space="preserve">- Thu bổ sung có mục tiêu </t>
  </si>
  <si>
    <t xml:space="preserve">      + Bổ sung đợt I</t>
  </si>
  <si>
    <t xml:space="preserve">      + Bổ sung đợt II</t>
  </si>
  <si>
    <t>- Thu bổ sung từ nguồn xổ sổ kiến thiết</t>
  </si>
  <si>
    <t>Thu từ nguồn thu tại đơn vị</t>
  </si>
  <si>
    <t>Thu từ nguồn CCTL tại địa phương</t>
  </si>
  <si>
    <t>Điều tiết</t>
  </si>
  <si>
    <t>Tỉnh thu TP được hưởng</t>
  </si>
  <si>
    <t>Bổ sung từ nguồn sổ xố</t>
  </si>
  <si>
    <t>Thu tiền SDĐ</t>
  </si>
  <si>
    <t>Tổng thu trong cân đối được sử dụng (trừ TSSĐ)</t>
  </si>
  <si>
    <t xml:space="preserve"> - Số thu thành phố hưởng </t>
  </si>
  <si>
    <t>…., ngày ... tháng ... năm ...</t>
  </si>
  <si>
    <t>TM. ỦY BAN NHÂN DÂN</t>
  </si>
  <si>
    <t>CHỦ TỊCH</t>
  </si>
  <si>
    <t>(Ký tên, đóng dấu)</t>
  </si>
  <si>
    <t>Tổng các khoản tghu cân đối ngân sách NN</t>
  </si>
  <si>
    <t>trong đó: ( nếu loại trừ tiền sử dụng đất)</t>
  </si>
  <si>
    <r>
      <rPr>
        <u val="single"/>
        <sz val="12"/>
        <rFont val="Times New Roman"/>
        <family val="1"/>
      </rPr>
      <t>Ghi chú</t>
    </r>
    <r>
      <rPr>
        <sz val="12"/>
        <rFont val="Times New Roman"/>
        <family val="1"/>
      </rPr>
      <t>: (1) Bao gồm các khoản thu NSĐP hưởng 100%, các khoản thu phân chia giữa NSTW và NSĐP.</t>
    </r>
  </si>
  <si>
    <t>% So cùng kỳ</t>
  </si>
  <si>
    <t>KHOẢN CHI</t>
  </si>
  <si>
    <t>thực hiện tháng  6/2022</t>
  </si>
  <si>
    <t xml:space="preserve"> % (Thực hiện/dự toán tỉnh giao)</t>
  </si>
  <si>
    <t xml:space="preserve"> % (Thực hiện/dự toán HĐND giao)</t>
  </si>
  <si>
    <t>TỔNG CHI NGÂN SÁCH ĐỊA PHƯƠNG ( A+B+C+D)</t>
  </si>
  <si>
    <t xml:space="preserve"> CHI CÂN ĐỐI NS ĐỊA PHƯƠNG ( I+II+III)</t>
  </si>
  <si>
    <t>Chi đầu tư phát triển thành phố</t>
  </si>
  <si>
    <t>Chi đầu tư NS thành phố</t>
  </si>
  <si>
    <t>chi đầu tư XDCB tập trung</t>
  </si>
  <si>
    <t>Chi đầu tư XDCB từ nguồn sử dụng đất</t>
  </si>
  <si>
    <t>Chi đầu tư XDCB từ nguồn xổ số kiến thiết</t>
  </si>
  <si>
    <t xml:space="preserve">Chi thường xuyên theo lĩnh vực </t>
  </si>
  <si>
    <t>II.1</t>
  </si>
  <si>
    <t>Ngân sách thành phố</t>
  </si>
  <si>
    <t>Chi an ninh</t>
  </si>
  <si>
    <t xml:space="preserve">Chi sự nghiệp GDĐT và Dạy nghề </t>
  </si>
  <si>
    <t xml:space="preserve">Chi sự nghiệp y tế </t>
  </si>
  <si>
    <t xml:space="preserve">Chi SN văn hóa thông tin </t>
  </si>
  <si>
    <t xml:space="preserve">Chi SN truyền thanh </t>
  </si>
  <si>
    <t xml:space="preserve">Chi SN thể dục -TT </t>
  </si>
  <si>
    <t xml:space="preserve">Chi SN môi trường  </t>
  </si>
  <si>
    <t xml:space="preserve">Chi SN kinh tế </t>
  </si>
  <si>
    <t>Chi QL hành chính ( QLNN, Đảng, đoàn thể)</t>
  </si>
  <si>
    <t xml:space="preserve">Chi bảo đảm XH </t>
  </si>
  <si>
    <t xml:space="preserve">Chi lĩnh vực khác </t>
  </si>
  <si>
    <t>II.2</t>
  </si>
  <si>
    <t xml:space="preserve">Ngân sách phường, xã </t>
  </si>
  <si>
    <t>2.1</t>
  </si>
  <si>
    <t>2.2</t>
  </si>
  <si>
    <t>2.3</t>
  </si>
  <si>
    <t>2.4</t>
  </si>
  <si>
    <t>2.5</t>
  </si>
  <si>
    <t>2.6</t>
  </si>
  <si>
    <t>2.7</t>
  </si>
  <si>
    <t>2.8</t>
  </si>
  <si>
    <t>Chi QL nhà nước, các hội đoàn thể</t>
  </si>
  <si>
    <t>2.9</t>
  </si>
  <si>
    <t>2.10</t>
  </si>
  <si>
    <t>Nhiệm vụ Chi khác XDCB ( chuyển vốn ủy thác)</t>
  </si>
  <si>
    <t>CHI ĐẦU TƯ PHÁT TRIỂN (công trình chuyển nguồn)</t>
  </si>
  <si>
    <t xml:space="preserve">CHI CHUYỂN GIAO NGÂN SÁCH </t>
  </si>
  <si>
    <t xml:space="preserve">Chi bổ sung ngân sách cấp xã </t>
  </si>
  <si>
    <t>bổ sung cân đối</t>
  </si>
  <si>
    <t>bổ sung mục tiêu</t>
  </si>
  <si>
    <t>Dự phòng</t>
  </si>
  <si>
    <t>Ngân sách phường xã</t>
  </si>
  <si>
    <t>E</t>
  </si>
  <si>
    <t>CHI CHUYỂN NGUỒN</t>
  </si>
  <si>
    <t>TẠM ỨNG CHƯA ĐƯA VÀO CÂN ĐỐI NS</t>
  </si>
  <si>
    <t>F</t>
  </si>
  <si>
    <t xml:space="preserve">Tạm chi chưa đưa vào cân đối NS </t>
  </si>
  <si>
    <t>Đvt: đồng</t>
  </si>
  <si>
    <t>ĐVT:  đồng</t>
  </si>
  <si>
    <t>% so cùng kỳ</t>
  </si>
  <si>
    <t>Lũy kế 6 tháng năm 2021</t>
  </si>
  <si>
    <t>% so sánh thực hiện</t>
  </si>
  <si>
    <t xml:space="preserve">Dự toán HĐND giao + bổ sung </t>
  </si>
  <si>
    <t>QUÝ III NĂM 2022</t>
  </si>
  <si>
    <t>% thực hiện so dự toán</t>
  </si>
  <si>
    <t>QUÝ IVNĂM 2022</t>
  </si>
  <si>
    <t>Thực hiện quý IV/2022</t>
  </si>
  <si>
    <t>THỰC HIỆN THU NGÂN SÁCH NHÀ NƯỚC QUÝ IV NĂM 2022</t>
  </si>
  <si>
    <t>Thực hiện thu quý IV năm 2022</t>
  </si>
  <si>
    <t>Lũy kế thu 12 tháng năm 2022</t>
  </si>
  <si>
    <t>Lũy kế 12tháng năm 2022</t>
  </si>
  <si>
    <t>Thực hiện quý  IV/2022</t>
  </si>
  <si>
    <t>lũy kế 12 tháng năm 2022</t>
  </si>
  <si>
    <t>Dự toán tỉnh giao+ bổ sung</t>
  </si>
  <si>
    <t xml:space="preserve">Nhiệm vụ chi khác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</si>
</sst>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9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Accounting"/>
      <sz val="14"/>
      <name val="Times New Roman"/>
      <family val="1"/>
    </font>
    <font>
      <u val="singleAccounting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"/>
      <family val="0"/>
    </font>
    <font>
      <sz val="11"/>
      <color indexed="8"/>
      <name val="Times New Roman"/>
      <family val="1"/>
    </font>
    <font>
      <sz val="11"/>
      <color indexed="8"/>
      <name val="T"/>
      <family val="0"/>
    </font>
    <font>
      <b/>
      <sz val="11"/>
      <name val="Cambria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name val="Cambria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"/>
      <family val="0"/>
    </font>
    <font>
      <sz val="11"/>
      <color theme="1"/>
      <name val="T"/>
      <family val="0"/>
    </font>
    <font>
      <b/>
      <sz val="11"/>
      <color theme="1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u val="single"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4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double"/>
      <right style="thin"/>
      <top/>
      <bottom style="hair"/>
    </border>
    <border>
      <left style="thin"/>
      <right/>
      <top/>
      <bottom style="hair"/>
    </border>
    <border>
      <left style="double"/>
      <right style="thin"/>
      <top style="hair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6" fillId="0" borderId="11" xfId="0" applyFont="1" applyBorder="1" applyAlignment="1">
      <alignment/>
    </xf>
    <xf numFmtId="164" fontId="0" fillId="0" borderId="0" xfId="42" applyNumberFormat="1" applyFont="1" applyAlignment="1">
      <alignment/>
    </xf>
    <xf numFmtId="164" fontId="76" fillId="0" borderId="11" xfId="42" applyNumberFormat="1" applyFont="1" applyBorder="1" applyAlignment="1">
      <alignment/>
    </xf>
    <xf numFmtId="0" fontId="78" fillId="0" borderId="0" xfId="0" applyFont="1" applyAlignment="1">
      <alignment/>
    </xf>
    <xf numFmtId="0" fontId="77" fillId="0" borderId="11" xfId="0" applyFont="1" applyBorder="1" applyAlignment="1">
      <alignment/>
    </xf>
    <xf numFmtId="0" fontId="79" fillId="0" borderId="0" xfId="0" applyFont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2" xfId="0" applyFont="1" applyBorder="1" applyAlignment="1">
      <alignment/>
    </xf>
    <xf numFmtId="164" fontId="9" fillId="0" borderId="13" xfId="42" applyNumberFormat="1" applyFont="1" applyBorder="1" applyAlignment="1">
      <alignment/>
    </xf>
    <xf numFmtId="164" fontId="9" fillId="0" borderId="14" xfId="42" applyNumberFormat="1" applyFont="1" applyBorder="1" applyAlignment="1">
      <alignment/>
    </xf>
    <xf numFmtId="164" fontId="9" fillId="0" borderId="11" xfId="42" applyNumberFormat="1" applyFont="1" applyBorder="1" applyAlignment="1">
      <alignment horizontal="center" vertical="center" wrapText="1"/>
    </xf>
    <xf numFmtId="164" fontId="12" fillId="0" borderId="10" xfId="42" applyNumberFormat="1" applyFont="1" applyBorder="1" applyAlignment="1">
      <alignment horizontal="center"/>
    </xf>
    <xf numFmtId="9" fontId="9" fillId="0" borderId="15" xfId="58" applyFont="1" applyBorder="1" applyAlignment="1">
      <alignment horizontal="center"/>
    </xf>
    <xf numFmtId="164" fontId="9" fillId="0" borderId="15" xfId="42" applyNumberFormat="1" applyFont="1" applyBorder="1" applyAlignment="1">
      <alignment/>
    </xf>
    <xf numFmtId="164" fontId="11" fillId="0" borderId="15" xfId="42" applyNumberFormat="1" applyFont="1" applyBorder="1" applyAlignment="1">
      <alignment/>
    </xf>
    <xf numFmtId="164" fontId="12" fillId="0" borderId="10" xfId="42" applyNumberFormat="1" applyFont="1" applyBorder="1" applyAlignment="1">
      <alignment/>
    </xf>
    <xf numFmtId="9" fontId="13" fillId="0" borderId="11" xfId="58" applyFont="1" applyBorder="1" applyAlignment="1">
      <alignment horizontal="center"/>
    </xf>
    <xf numFmtId="164" fontId="9" fillId="0" borderId="10" xfId="42" applyNumberFormat="1" applyFont="1" applyBorder="1" applyAlignment="1">
      <alignment/>
    </xf>
    <xf numFmtId="9" fontId="13" fillId="0" borderId="10" xfId="58" applyFont="1" applyBorder="1" applyAlignment="1">
      <alignment horizontal="center"/>
    </xf>
    <xf numFmtId="9" fontId="9" fillId="0" borderId="10" xfId="58" applyFont="1" applyBorder="1" applyAlignment="1">
      <alignment horizontal="center"/>
    </xf>
    <xf numFmtId="164" fontId="9" fillId="0" borderId="12" xfId="42" applyNumberFormat="1" applyFont="1" applyBorder="1" applyAlignment="1">
      <alignment/>
    </xf>
    <xf numFmtId="164" fontId="11" fillId="0" borderId="10" xfId="42" applyNumberFormat="1" applyFont="1" applyBorder="1" applyAlignment="1">
      <alignment/>
    </xf>
    <xf numFmtId="164" fontId="11" fillId="0" borderId="12" xfId="42" applyNumberFormat="1" applyFont="1" applyBorder="1" applyAlignment="1">
      <alignment/>
    </xf>
    <xf numFmtId="164" fontId="76" fillId="0" borderId="10" xfId="42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64" fontId="17" fillId="0" borderId="10" xfId="42" applyNumberFormat="1" applyFont="1" applyBorder="1" applyAlignment="1">
      <alignment/>
    </xf>
    <xf numFmtId="164" fontId="76" fillId="0" borderId="0" xfId="0" applyNumberFormat="1" applyFont="1" applyAlignment="1">
      <alignment/>
    </xf>
    <xf numFmtId="0" fontId="75" fillId="0" borderId="0" xfId="0" applyFont="1" applyAlignment="1">
      <alignment horizontal="center"/>
    </xf>
    <xf numFmtId="0" fontId="14" fillId="0" borderId="0" xfId="0" applyFont="1" applyAlignment="1">
      <alignment/>
    </xf>
    <xf numFmtId="164" fontId="14" fillId="0" borderId="0" xfId="42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64" fontId="14" fillId="0" borderId="10" xfId="42" applyNumberFormat="1" applyFont="1" applyBorder="1" applyAlignment="1">
      <alignment horizontal="center" vertical="center" wrapText="1"/>
    </xf>
    <xf numFmtId="9" fontId="15" fillId="33" borderId="10" xfId="58" applyFont="1" applyFill="1" applyBorder="1" applyAlignment="1">
      <alignment horizontal="center" vertical="center" wrapText="1"/>
    </xf>
    <xf numFmtId="9" fontId="15" fillId="0" borderId="10" xfId="58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64" fontId="14" fillId="33" borderId="10" xfId="42" applyNumberFormat="1" applyFont="1" applyFill="1" applyBorder="1" applyAlignment="1">
      <alignment horizontal="center" vertical="center" wrapText="1"/>
    </xf>
    <xf numFmtId="164" fontId="14" fillId="33" borderId="0" xfId="42" applyNumberFormat="1" applyFont="1" applyFill="1" applyAlignment="1">
      <alignment/>
    </xf>
    <xf numFmtId="0" fontId="14" fillId="33" borderId="0" xfId="0" applyFont="1" applyFill="1" applyAlignment="1">
      <alignment/>
    </xf>
    <xf numFmtId="0" fontId="20" fillId="0" borderId="10" xfId="0" applyFont="1" applyBorder="1" applyAlignment="1">
      <alignment vertical="center" wrapText="1"/>
    </xf>
    <xf numFmtId="0" fontId="14" fillId="0" borderId="10" xfId="0" applyFont="1" applyBorder="1" applyAlignment="1" quotePrefix="1">
      <alignment vertical="center" wrapText="1"/>
    </xf>
    <xf numFmtId="9" fontId="14" fillId="33" borderId="10" xfId="58" applyFont="1" applyFill="1" applyBorder="1" applyAlignment="1">
      <alignment horizontal="center" vertical="center" wrapText="1"/>
    </xf>
    <xf numFmtId="9" fontId="14" fillId="0" borderId="10" xfId="58" applyFont="1" applyBorder="1" applyAlignment="1">
      <alignment horizontal="center" vertical="center" wrapText="1"/>
    </xf>
    <xf numFmtId="0" fontId="15" fillId="0" borderId="10" xfId="0" applyFont="1" applyBorder="1" applyAlignment="1" quotePrefix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 quotePrefix="1">
      <alignment vertical="center" wrapText="1"/>
    </xf>
    <xf numFmtId="164" fontId="14" fillId="0" borderId="0" xfId="42" applyNumberFormat="1" applyFont="1" applyBorder="1" applyAlignment="1">
      <alignment horizontal="center" vertical="center" wrapText="1"/>
    </xf>
    <xf numFmtId="164" fontId="15" fillId="0" borderId="0" xfId="42" applyNumberFormat="1" applyFont="1" applyBorder="1" applyAlignment="1">
      <alignment horizontal="center" vertical="center" wrapText="1"/>
    </xf>
    <xf numFmtId="9" fontId="14" fillId="0" borderId="0" xfId="58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9" fontId="15" fillId="0" borderId="0" xfId="58" applyFont="1" applyBorder="1" applyAlignment="1">
      <alignment horizontal="center" vertical="center" wrapText="1"/>
    </xf>
    <xf numFmtId="164" fontId="15" fillId="0" borderId="0" xfId="42" applyNumberFormat="1" applyFont="1" applyAlignment="1">
      <alignment/>
    </xf>
    <xf numFmtId="164" fontId="15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20" fillId="33" borderId="10" xfId="42" applyNumberFormat="1" applyFont="1" applyFill="1" applyBorder="1" applyAlignment="1">
      <alignment horizontal="center" vertical="center" wrapText="1"/>
    </xf>
    <xf numFmtId="164" fontId="80" fillId="0" borderId="0" xfId="42" applyNumberFormat="1" applyFont="1" applyAlignment="1">
      <alignment horizontal="center"/>
    </xf>
    <xf numFmtId="164" fontId="81" fillId="0" borderId="0" xfId="42" applyNumberFormat="1" applyFont="1" applyAlignment="1">
      <alignment horizontal="center"/>
    </xf>
    <xf numFmtId="3" fontId="0" fillId="0" borderId="0" xfId="0" applyNumberFormat="1" applyAlignment="1">
      <alignment/>
    </xf>
    <xf numFmtId="0" fontId="82" fillId="0" borderId="12" xfId="0" applyFont="1" applyBorder="1" applyAlignment="1">
      <alignment vertical="top"/>
    </xf>
    <xf numFmtId="0" fontId="82" fillId="0" borderId="12" xfId="55" applyFont="1" applyBorder="1" applyAlignment="1">
      <alignment horizontal="left" vertical="top" wrapText="1"/>
      <protection/>
    </xf>
    <xf numFmtId="3" fontId="83" fillId="33" borderId="12" xfId="0" applyNumberFormat="1" applyFont="1" applyFill="1" applyBorder="1" applyAlignment="1">
      <alignment vertical="distributed"/>
    </xf>
    <xf numFmtId="165" fontId="28" fillId="0" borderId="12" xfId="58" applyNumberFormat="1" applyFont="1" applyFill="1" applyBorder="1" applyAlignment="1">
      <alignment vertical="distributed"/>
    </xf>
    <xf numFmtId="165" fontId="28" fillId="0" borderId="10" xfId="58" applyNumberFormat="1" applyFont="1" applyFill="1" applyBorder="1" applyAlignment="1">
      <alignment vertical="distributed"/>
    </xf>
    <xf numFmtId="9" fontId="28" fillId="0" borderId="10" xfId="58" applyFont="1" applyFill="1" applyBorder="1" applyAlignment="1">
      <alignment vertical="distributed"/>
    </xf>
    <xf numFmtId="0" fontId="82" fillId="33" borderId="10" xfId="0" applyFont="1" applyFill="1" applyBorder="1" applyAlignment="1">
      <alignment vertical="top"/>
    </xf>
    <xf numFmtId="0" fontId="82" fillId="33" borderId="10" xfId="55" applyFont="1" applyFill="1" applyBorder="1" applyAlignment="1">
      <alignment horizontal="left" vertical="top" wrapText="1"/>
      <protection/>
    </xf>
    <xf numFmtId="165" fontId="28" fillId="33" borderId="10" xfId="58" applyNumberFormat="1" applyFont="1" applyFill="1" applyBorder="1" applyAlignment="1">
      <alignment vertical="distributed"/>
    </xf>
    <xf numFmtId="3" fontId="28" fillId="33" borderId="10" xfId="0" applyNumberFormat="1" applyFont="1" applyFill="1" applyBorder="1" applyAlignment="1">
      <alignment vertical="distributed"/>
    </xf>
    <xf numFmtId="0" fontId="0" fillId="33" borderId="0" xfId="0" applyFill="1" applyAlignment="1">
      <alignment/>
    </xf>
    <xf numFmtId="0" fontId="82" fillId="0" borderId="11" xfId="0" applyFont="1" applyBorder="1" applyAlignment="1">
      <alignment vertical="top"/>
    </xf>
    <xf numFmtId="3" fontId="28" fillId="0" borderId="11" xfId="0" applyNumberFormat="1" applyFont="1" applyBorder="1" applyAlignment="1">
      <alignment vertical="distributed"/>
    </xf>
    <xf numFmtId="3" fontId="28" fillId="33" borderId="11" xfId="0" applyNumberFormat="1" applyFont="1" applyFill="1" applyBorder="1" applyAlignment="1">
      <alignment vertical="distributed"/>
    </xf>
    <xf numFmtId="165" fontId="28" fillId="0" borderId="11" xfId="58" applyNumberFormat="1" applyFont="1" applyFill="1" applyBorder="1" applyAlignment="1">
      <alignment vertical="distributed"/>
    </xf>
    <xf numFmtId="10" fontId="28" fillId="33" borderId="10" xfId="58" applyNumberFormat="1" applyFont="1" applyFill="1" applyBorder="1" applyAlignment="1">
      <alignment vertical="distributed"/>
    </xf>
    <xf numFmtId="0" fontId="82" fillId="0" borderId="11" xfId="0" applyFont="1" applyBorder="1" applyAlignment="1">
      <alignment horizontal="center" vertical="top"/>
    </xf>
    <xf numFmtId="9" fontId="28" fillId="0" borderId="11" xfId="58" applyFont="1" applyFill="1" applyBorder="1" applyAlignment="1">
      <alignment vertical="distributed"/>
    </xf>
    <xf numFmtId="9" fontId="28" fillId="33" borderId="10" xfId="58" applyFont="1" applyFill="1" applyBorder="1" applyAlignment="1">
      <alignment vertical="distributed"/>
    </xf>
    <xf numFmtId="0" fontId="84" fillId="0" borderId="11" xfId="0" applyFont="1" applyBorder="1" applyAlignment="1">
      <alignment vertical="top"/>
    </xf>
    <xf numFmtId="164" fontId="31" fillId="0" borderId="11" xfId="42" applyNumberFormat="1" applyFont="1" applyFill="1" applyBorder="1" applyAlignment="1">
      <alignment vertical="top"/>
    </xf>
    <xf numFmtId="3" fontId="32" fillId="33" borderId="11" xfId="0" applyNumberFormat="1" applyFont="1" applyFill="1" applyBorder="1" applyAlignment="1">
      <alignment horizontal="right" vertical="distributed"/>
    </xf>
    <xf numFmtId="9" fontId="28" fillId="33" borderId="11" xfId="58" applyFont="1" applyFill="1" applyBorder="1" applyAlignment="1">
      <alignment vertical="distributed"/>
    </xf>
    <xf numFmtId="9" fontId="32" fillId="0" borderId="10" xfId="58" applyFont="1" applyFill="1" applyBorder="1" applyAlignment="1">
      <alignment vertical="distributed"/>
    </xf>
    <xf numFmtId="0" fontId="82" fillId="0" borderId="11" xfId="0" applyFont="1" applyBorder="1" applyAlignment="1">
      <alignment vertical="top"/>
    </xf>
    <xf numFmtId="3" fontId="32" fillId="0" borderId="11" xfId="0" applyNumberFormat="1" applyFont="1" applyBorder="1" applyAlignment="1">
      <alignment vertical="distributed"/>
    </xf>
    <xf numFmtId="3" fontId="28" fillId="33" borderId="11" xfId="0" applyNumberFormat="1" applyFont="1" applyFill="1" applyBorder="1" applyAlignment="1">
      <alignment horizontal="right" vertical="distributed"/>
    </xf>
    <xf numFmtId="3" fontId="28" fillId="0" borderId="11" xfId="0" applyNumberFormat="1" applyFont="1" applyBorder="1" applyAlignment="1">
      <alignment horizontal="right" vertical="distributed"/>
    </xf>
    <xf numFmtId="0" fontId="82" fillId="0" borderId="10" xfId="0" applyFont="1" applyBorder="1" applyAlignment="1">
      <alignment vertical="top"/>
    </xf>
    <xf numFmtId="164" fontId="82" fillId="0" borderId="10" xfId="42" applyNumberFormat="1" applyFont="1" applyFill="1" applyBorder="1" applyAlignment="1">
      <alignment vertical="top"/>
    </xf>
    <xf numFmtId="3" fontId="28" fillId="0" borderId="10" xfId="0" applyNumberFormat="1" applyFont="1" applyBorder="1" applyAlignment="1">
      <alignment vertical="distributed"/>
    </xf>
    <xf numFmtId="3" fontId="32" fillId="33" borderId="10" xfId="0" applyNumberFormat="1" applyFont="1" applyFill="1" applyBorder="1" applyAlignment="1">
      <alignment vertical="distributed"/>
    </xf>
    <xf numFmtId="0" fontId="84" fillId="0" borderId="16" xfId="0" applyFont="1" applyBorder="1" applyAlignment="1">
      <alignment horizontal="left" vertical="top"/>
    </xf>
    <xf numFmtId="0" fontId="84" fillId="0" borderId="17" xfId="0" applyFont="1" applyBorder="1" applyAlignment="1">
      <alignment vertical="top"/>
    </xf>
    <xf numFmtId="3" fontId="32" fillId="33" borderId="17" xfId="0" applyNumberFormat="1" applyFont="1" applyFill="1" applyBorder="1" applyAlignment="1">
      <alignment horizontal="right" vertical="distributed"/>
    </xf>
    <xf numFmtId="9" fontId="32" fillId="0" borderId="17" xfId="58" applyFont="1" applyFill="1" applyBorder="1" applyAlignment="1">
      <alignment horizontal="right" vertical="distributed"/>
    </xf>
    <xf numFmtId="3" fontId="32" fillId="33" borderId="13" xfId="0" applyNumberFormat="1" applyFont="1" applyFill="1" applyBorder="1" applyAlignment="1">
      <alignment horizontal="right" vertical="distributed"/>
    </xf>
    <xf numFmtId="0" fontId="84" fillId="0" borderId="14" xfId="0" applyFont="1" applyBorder="1" applyAlignment="1">
      <alignment vertical="top"/>
    </xf>
    <xf numFmtId="3" fontId="32" fillId="33" borderId="14" xfId="0" applyNumberFormat="1" applyFont="1" applyFill="1" applyBorder="1" applyAlignment="1">
      <alignment horizontal="right" vertical="distributed"/>
    </xf>
    <xf numFmtId="9" fontId="32" fillId="0" borderId="14" xfId="58" applyFont="1" applyFill="1" applyBorder="1" applyAlignment="1">
      <alignment horizontal="right" vertical="distributed"/>
    </xf>
    <xf numFmtId="0" fontId="84" fillId="0" borderId="14" xfId="0" applyFont="1" applyBorder="1" applyAlignment="1">
      <alignment vertical="top"/>
    </xf>
    <xf numFmtId="3" fontId="32" fillId="33" borderId="14" xfId="0" applyNumberFormat="1" applyFont="1" applyFill="1" applyBorder="1" applyAlignment="1">
      <alignment vertical="distributed"/>
    </xf>
    <xf numFmtId="0" fontId="84" fillId="0" borderId="18" xfId="0" applyFont="1" applyBorder="1" applyAlignment="1">
      <alignment vertical="top"/>
    </xf>
    <xf numFmtId="0" fontId="84" fillId="0" borderId="19" xfId="0" applyFont="1" applyBorder="1" applyAlignment="1">
      <alignment vertical="top"/>
    </xf>
    <xf numFmtId="3" fontId="32" fillId="33" borderId="20" xfId="0" applyNumberFormat="1" applyFont="1" applyFill="1" applyBorder="1" applyAlignment="1">
      <alignment vertical="distributed"/>
    </xf>
    <xf numFmtId="9" fontId="32" fillId="0" borderId="20" xfId="58" applyFont="1" applyFill="1" applyBorder="1" applyAlignment="1">
      <alignment horizontal="right" vertical="distributed"/>
    </xf>
    <xf numFmtId="0" fontId="82" fillId="0" borderId="10" xfId="0" applyFont="1" applyBorder="1" applyAlignment="1">
      <alignment vertical="top"/>
    </xf>
    <xf numFmtId="3" fontId="33" fillId="33" borderId="10" xfId="0" applyNumberFormat="1" applyFont="1" applyFill="1" applyBorder="1" applyAlignment="1">
      <alignment vertical="distributed"/>
    </xf>
    <xf numFmtId="9" fontId="33" fillId="0" borderId="10" xfId="58" applyFont="1" applyFill="1" applyBorder="1" applyAlignment="1">
      <alignment vertical="distributed"/>
    </xf>
    <xf numFmtId="0" fontId="84" fillId="0" borderId="10" xfId="0" applyFont="1" applyBorder="1" applyAlignment="1">
      <alignment horizontal="center" vertical="top"/>
    </xf>
    <xf numFmtId="0" fontId="84" fillId="0" borderId="10" xfId="0" applyFont="1" applyBorder="1" applyAlignment="1">
      <alignment vertical="top"/>
    </xf>
    <xf numFmtId="3" fontId="32" fillId="33" borderId="10" xfId="0" applyNumberFormat="1" applyFont="1" applyFill="1" applyBorder="1" applyAlignment="1">
      <alignment horizontal="right" vertical="distributed"/>
    </xf>
    <xf numFmtId="3" fontId="28" fillId="0" borderId="10" xfId="0" applyNumberFormat="1" applyFont="1" applyBorder="1" applyAlignment="1">
      <alignment horizontal="right" vertical="distributed"/>
    </xf>
    <xf numFmtId="0" fontId="82" fillId="0" borderId="10" xfId="0" applyFont="1" applyBorder="1" applyAlignment="1">
      <alignment horizontal="center" vertical="top"/>
    </xf>
    <xf numFmtId="3" fontId="32" fillId="33" borderId="17" xfId="0" applyNumberFormat="1" applyFont="1" applyFill="1" applyBorder="1" applyAlignment="1">
      <alignment vertical="distributed"/>
    </xf>
    <xf numFmtId="3" fontId="28" fillId="0" borderId="17" xfId="0" applyNumberFormat="1" applyFont="1" applyBorder="1" applyAlignment="1">
      <alignment horizontal="right" vertical="distributed"/>
    </xf>
    <xf numFmtId="9" fontId="34" fillId="0" borderId="17" xfId="58" applyFont="1" applyFill="1" applyBorder="1" applyAlignment="1">
      <alignment vertical="distributed"/>
    </xf>
    <xf numFmtId="3" fontId="28" fillId="0" borderId="14" xfId="0" applyNumberFormat="1" applyFont="1" applyBorder="1" applyAlignment="1">
      <alignment horizontal="right" vertical="distributed"/>
    </xf>
    <xf numFmtId="9" fontId="34" fillId="0" borderId="14" xfId="58" applyFont="1" applyFill="1" applyBorder="1" applyAlignment="1">
      <alignment vertical="distributed"/>
    </xf>
    <xf numFmtId="0" fontId="31" fillId="0" borderId="14" xfId="0" applyFont="1" applyBorder="1" applyAlignment="1">
      <alignment vertical="top"/>
    </xf>
    <xf numFmtId="0" fontId="31" fillId="0" borderId="18" xfId="0" applyFont="1" applyBorder="1" applyAlignment="1">
      <alignment vertical="top"/>
    </xf>
    <xf numFmtId="9" fontId="34" fillId="0" borderId="20" xfId="58" applyFont="1" applyFill="1" applyBorder="1" applyAlignment="1">
      <alignment vertical="distributed"/>
    </xf>
    <xf numFmtId="0" fontId="84" fillId="0" borderId="21" xfId="0" applyFont="1" applyBorder="1" applyAlignment="1">
      <alignment vertical="top"/>
    </xf>
    <xf numFmtId="3" fontId="32" fillId="33" borderId="13" xfId="0" applyNumberFormat="1" applyFont="1" applyFill="1" applyBorder="1" applyAlignment="1">
      <alignment vertical="distributed"/>
    </xf>
    <xf numFmtId="3" fontId="28" fillId="0" borderId="20" xfId="0" applyNumberFormat="1" applyFont="1" applyBorder="1" applyAlignment="1">
      <alignment horizontal="right" vertical="distributed"/>
    </xf>
    <xf numFmtId="9" fontId="34" fillId="0" borderId="10" xfId="58" applyFont="1" applyFill="1" applyBorder="1" applyAlignment="1">
      <alignment vertical="distributed"/>
    </xf>
    <xf numFmtId="0" fontId="82" fillId="0" borderId="10" xfId="55" applyFont="1" applyBorder="1" applyAlignment="1">
      <alignment horizontal="left" vertical="top" wrapText="1"/>
      <protection/>
    </xf>
    <xf numFmtId="3" fontId="28" fillId="33" borderId="10" xfId="0" applyNumberFormat="1" applyFont="1" applyFill="1" applyBorder="1" applyAlignment="1">
      <alignment horizontal="right" vertical="distributed"/>
    </xf>
    <xf numFmtId="0" fontId="82" fillId="33" borderId="10" xfId="0" applyFont="1" applyFill="1" applyBorder="1" applyAlignment="1">
      <alignment vertical="top"/>
    </xf>
    <xf numFmtId="0" fontId="28" fillId="33" borderId="22" xfId="0" applyFont="1" applyFill="1" applyBorder="1" applyAlignment="1">
      <alignment wrapText="1"/>
    </xf>
    <xf numFmtId="164" fontId="28" fillId="33" borderId="12" xfId="42" applyNumberFormat="1" applyFont="1" applyFill="1" applyBorder="1" applyAlignment="1">
      <alignment/>
    </xf>
    <xf numFmtId="164" fontId="31" fillId="33" borderId="22" xfId="42" applyNumberFormat="1" applyFont="1" applyFill="1" applyBorder="1" applyAlignment="1">
      <alignment vertical="top"/>
    </xf>
    <xf numFmtId="0" fontId="82" fillId="0" borderId="22" xfId="0" applyFont="1" applyBorder="1" applyAlignment="1">
      <alignment vertical="top"/>
    </xf>
    <xf numFmtId="0" fontId="82" fillId="0" borderId="22" xfId="0" applyFont="1" applyBorder="1" applyAlignment="1">
      <alignment vertical="top"/>
    </xf>
    <xf numFmtId="3" fontId="32" fillId="0" borderId="22" xfId="0" applyNumberFormat="1" applyFont="1" applyBorder="1" applyAlignment="1">
      <alignment vertical="distributed"/>
    </xf>
    <xf numFmtId="3" fontId="28" fillId="0" borderId="22" xfId="0" applyNumberFormat="1" applyFont="1" applyBorder="1" applyAlignment="1">
      <alignment vertical="distributed"/>
    </xf>
    <xf numFmtId="3" fontId="32" fillId="0" borderId="22" xfId="0" applyNumberFormat="1" applyFont="1" applyBorder="1" applyAlignment="1">
      <alignment horizontal="right" vertical="distributed"/>
    </xf>
    <xf numFmtId="0" fontId="84" fillId="0" borderId="12" xfId="0" applyFont="1" applyBorder="1" applyAlignment="1">
      <alignment vertical="top"/>
    </xf>
    <xf numFmtId="3" fontId="32" fillId="0" borderId="12" xfId="0" applyNumberFormat="1" applyFont="1" applyBorder="1" applyAlignment="1">
      <alignment horizontal="right" vertical="distributed"/>
    </xf>
    <xf numFmtId="164" fontId="84" fillId="0" borderId="12" xfId="42" applyNumberFormat="1" applyFont="1" applyFill="1" applyBorder="1" applyAlignment="1">
      <alignment vertical="top"/>
    </xf>
    <xf numFmtId="3" fontId="32" fillId="0" borderId="12" xfId="0" applyNumberFormat="1" applyFont="1" applyBorder="1" applyAlignment="1">
      <alignment vertical="distributed"/>
    </xf>
    <xf numFmtId="164" fontId="31" fillId="0" borderId="22" xfId="42" applyNumberFormat="1" applyFont="1" applyFill="1" applyBorder="1" applyAlignment="1">
      <alignment vertical="top"/>
    </xf>
    <xf numFmtId="0" fontId="82" fillId="0" borderId="16" xfId="0" applyFont="1" applyBorder="1" applyAlignment="1">
      <alignment vertical="top"/>
    </xf>
    <xf numFmtId="0" fontId="82" fillId="0" borderId="16" xfId="0" applyFont="1" applyBorder="1" applyAlignment="1">
      <alignment vertical="top"/>
    </xf>
    <xf numFmtId="164" fontId="82" fillId="0" borderId="16" xfId="42" applyNumberFormat="1" applyFont="1" applyFill="1" applyBorder="1" applyAlignment="1">
      <alignment vertical="top"/>
    </xf>
    <xf numFmtId="164" fontId="26" fillId="0" borderId="16" xfId="42" applyNumberFormat="1" applyFont="1" applyFill="1" applyBorder="1" applyAlignment="1">
      <alignment vertical="top"/>
    </xf>
    <xf numFmtId="3" fontId="28" fillId="0" borderId="16" xfId="0" applyNumberFormat="1" applyFont="1" applyBorder="1" applyAlignment="1">
      <alignment vertical="distributed"/>
    </xf>
    <xf numFmtId="3" fontId="28" fillId="0" borderId="16" xfId="0" applyNumberFormat="1" applyFont="1" applyBorder="1" applyAlignment="1">
      <alignment horizontal="right" vertical="distributed"/>
    </xf>
    <xf numFmtId="164" fontId="82" fillId="0" borderId="12" xfId="42" applyNumberFormat="1" applyFont="1" applyFill="1" applyBorder="1" applyAlignment="1">
      <alignment vertical="top"/>
    </xf>
    <xf numFmtId="3" fontId="28" fillId="0" borderId="12" xfId="0" applyNumberFormat="1" applyFont="1" applyBorder="1" applyAlignment="1">
      <alignment vertical="distributed"/>
    </xf>
    <xf numFmtId="3" fontId="28" fillId="0" borderId="12" xfId="0" applyNumberFormat="1" applyFont="1" applyBorder="1" applyAlignment="1">
      <alignment horizontal="right" vertical="distributed"/>
    </xf>
    <xf numFmtId="0" fontId="82" fillId="0" borderId="21" xfId="0" applyFont="1" applyBorder="1" applyAlignment="1">
      <alignment vertical="top"/>
    </xf>
    <xf numFmtId="0" fontId="82" fillId="0" borderId="21" xfId="0" applyFont="1" applyBorder="1" applyAlignment="1">
      <alignment vertical="top"/>
    </xf>
    <xf numFmtId="164" fontId="82" fillId="0" borderId="21" xfId="42" applyNumberFormat="1" applyFont="1" applyFill="1" applyBorder="1" applyAlignment="1">
      <alignment vertical="top"/>
    </xf>
    <xf numFmtId="164" fontId="26" fillId="0" borderId="21" xfId="42" applyNumberFormat="1" applyFont="1" applyFill="1" applyBorder="1" applyAlignment="1">
      <alignment vertical="top"/>
    </xf>
    <xf numFmtId="3" fontId="28" fillId="0" borderId="21" xfId="0" applyNumberFormat="1" applyFont="1" applyBorder="1" applyAlignment="1">
      <alignment vertical="distributed"/>
    </xf>
    <xf numFmtId="3" fontId="28" fillId="0" borderId="21" xfId="0" applyNumberFormat="1" applyFont="1" applyBorder="1" applyAlignment="1">
      <alignment horizontal="right" vertical="distributed"/>
    </xf>
    <xf numFmtId="164" fontId="82" fillId="0" borderId="16" xfId="42" applyNumberFormat="1" applyFont="1" applyFill="1" applyBorder="1" applyAlignment="1">
      <alignment vertical="top"/>
    </xf>
    <xf numFmtId="164" fontId="82" fillId="0" borderId="21" xfId="42" applyNumberFormat="1" applyFont="1" applyFill="1" applyBorder="1" applyAlignment="1">
      <alignment vertical="top"/>
    </xf>
    <xf numFmtId="0" fontId="84" fillId="0" borderId="23" xfId="0" applyFont="1" applyBorder="1" applyAlignment="1">
      <alignment/>
    </xf>
    <xf numFmtId="0" fontId="83" fillId="0" borderId="16" xfId="0" applyFont="1" applyBorder="1" applyAlignment="1">
      <alignment horizontal="left" vertical="top" wrapText="1"/>
    </xf>
    <xf numFmtId="164" fontId="83" fillId="0" borderId="24" xfId="42" applyNumberFormat="1" applyFont="1" applyFill="1" applyBorder="1" applyAlignment="1">
      <alignment horizontal="left" vertical="top" wrapText="1"/>
    </xf>
    <xf numFmtId="0" fontId="84" fillId="0" borderId="25" xfId="0" applyFont="1" applyBorder="1" applyAlignment="1">
      <alignment/>
    </xf>
    <xf numFmtId="0" fontId="83" fillId="0" borderId="21" xfId="0" applyFont="1" applyBorder="1" applyAlignment="1">
      <alignment horizontal="left" vertical="top" wrapText="1"/>
    </xf>
    <xf numFmtId="164" fontId="83" fillId="0" borderId="26" xfId="42" applyNumberFormat="1" applyFont="1" applyFill="1" applyBorder="1" applyAlignment="1">
      <alignment horizontal="left" vertical="top" wrapText="1"/>
    </xf>
    <xf numFmtId="0" fontId="85" fillId="0" borderId="0" xfId="0" applyFont="1" applyAlignment="1">
      <alignment/>
    </xf>
    <xf numFmtId="0" fontId="86" fillId="0" borderId="0" xfId="0" applyFont="1" applyAlignment="1" quotePrefix="1">
      <alignment/>
    </xf>
    <xf numFmtId="0" fontId="77" fillId="0" borderId="0" xfId="0" applyFont="1" applyAlignment="1">
      <alignment/>
    </xf>
    <xf numFmtId="0" fontId="87" fillId="0" borderId="0" xfId="0" applyFont="1" applyAlignment="1">
      <alignment horizontal="center"/>
    </xf>
    <xf numFmtId="3" fontId="28" fillId="33" borderId="12" xfId="0" applyNumberFormat="1" applyFont="1" applyFill="1" applyBorder="1" applyAlignment="1">
      <alignment vertical="distributed"/>
    </xf>
    <xf numFmtId="164" fontId="20" fillId="0" borderId="27" xfId="42" applyNumberFormat="1" applyFont="1" applyBorder="1" applyAlignment="1">
      <alignment vertical="center"/>
    </xf>
    <xf numFmtId="3" fontId="32" fillId="33" borderId="12" xfId="0" applyNumberFormat="1" applyFont="1" applyFill="1" applyBorder="1" applyAlignment="1">
      <alignment vertical="distributed"/>
    </xf>
    <xf numFmtId="0" fontId="88" fillId="0" borderId="0" xfId="0" applyFont="1" applyAlignment="1">
      <alignment horizontal="center"/>
    </xf>
    <xf numFmtId="3" fontId="32" fillId="0" borderId="10" xfId="0" applyNumberFormat="1" applyFont="1" applyBorder="1" applyAlignment="1">
      <alignment vertical="distributed"/>
    </xf>
    <xf numFmtId="3" fontId="32" fillId="0" borderId="10" xfId="0" applyNumberFormat="1" applyFont="1" applyBorder="1" applyAlignment="1">
      <alignment horizontal="right" vertical="distributed"/>
    </xf>
    <xf numFmtId="164" fontId="31" fillId="0" borderId="16" xfId="42" applyNumberFormat="1" applyFont="1" applyFill="1" applyBorder="1" applyAlignment="1">
      <alignment vertical="top"/>
    </xf>
    <xf numFmtId="164" fontId="31" fillId="0" borderId="21" xfId="42" applyNumberFormat="1" applyFont="1" applyFill="1" applyBorder="1" applyAlignment="1">
      <alignment vertical="top"/>
    </xf>
    <xf numFmtId="3" fontId="32" fillId="0" borderId="16" xfId="0" applyNumberFormat="1" applyFont="1" applyBorder="1" applyAlignment="1">
      <alignment vertical="distributed"/>
    </xf>
    <xf numFmtId="3" fontId="32" fillId="0" borderId="21" xfId="0" applyNumberFormat="1" applyFont="1" applyBorder="1" applyAlignment="1">
      <alignment vertical="distributed"/>
    </xf>
    <xf numFmtId="0" fontId="89" fillId="0" borderId="0" xfId="0" applyFont="1" applyAlignment="1">
      <alignment/>
    </xf>
    <xf numFmtId="164" fontId="0" fillId="33" borderId="0" xfId="42" applyNumberFormat="1" applyFont="1" applyFill="1" applyAlignment="1">
      <alignment/>
    </xf>
    <xf numFmtId="164" fontId="79" fillId="0" borderId="0" xfId="42" applyNumberFormat="1" applyFont="1" applyAlignment="1">
      <alignment/>
    </xf>
    <xf numFmtId="164" fontId="79" fillId="33" borderId="0" xfId="42" applyNumberFormat="1" applyFont="1" applyFill="1" applyAlignment="1">
      <alignment/>
    </xf>
    <xf numFmtId="0" fontId="28" fillId="0" borderId="0" xfId="0" applyFont="1" applyAlignment="1">
      <alignment horizontal="center" vertical="center" wrapText="1"/>
    </xf>
    <xf numFmtId="165" fontId="28" fillId="0" borderId="0" xfId="58" applyNumberFormat="1" applyFont="1" applyFill="1" applyBorder="1" applyAlignment="1">
      <alignment vertical="distributed"/>
    </xf>
    <xf numFmtId="165" fontId="28" fillId="33" borderId="0" xfId="58" applyNumberFormat="1" applyFont="1" applyFill="1" applyBorder="1" applyAlignment="1">
      <alignment vertical="distributed"/>
    </xf>
    <xf numFmtId="10" fontId="28" fillId="33" borderId="0" xfId="58" applyNumberFormat="1" applyFont="1" applyFill="1" applyBorder="1" applyAlignment="1">
      <alignment vertical="distributed"/>
    </xf>
    <xf numFmtId="9" fontId="28" fillId="33" borderId="0" xfId="58" applyFont="1" applyFill="1" applyBorder="1" applyAlignment="1">
      <alignment vertical="distributed"/>
    </xf>
    <xf numFmtId="9" fontId="28" fillId="0" borderId="0" xfId="58" applyFont="1" applyFill="1" applyBorder="1" applyAlignment="1">
      <alignment vertical="distributed"/>
    </xf>
    <xf numFmtId="9" fontId="32" fillId="0" borderId="0" xfId="58" applyFont="1" applyFill="1" applyBorder="1" applyAlignment="1">
      <alignment horizontal="right" vertical="distributed"/>
    </xf>
    <xf numFmtId="9" fontId="33" fillId="0" borderId="0" xfId="58" applyFont="1" applyFill="1" applyBorder="1" applyAlignment="1">
      <alignment vertical="distributed"/>
    </xf>
    <xf numFmtId="9" fontId="32" fillId="0" borderId="0" xfId="58" applyFont="1" applyFill="1" applyBorder="1" applyAlignment="1">
      <alignment vertical="distributed"/>
    </xf>
    <xf numFmtId="9" fontId="34" fillId="0" borderId="0" xfId="58" applyFont="1" applyFill="1" applyBorder="1" applyAlignment="1">
      <alignment vertical="distributed"/>
    </xf>
    <xf numFmtId="3" fontId="32" fillId="0" borderId="0" xfId="0" applyNumberFormat="1" applyFont="1" applyAlignment="1">
      <alignment horizontal="right" vertical="distributed"/>
    </xf>
    <xf numFmtId="3" fontId="28" fillId="0" borderId="0" xfId="0" applyNumberFormat="1" applyFont="1" applyAlignment="1">
      <alignment horizontal="right" vertical="distributed"/>
    </xf>
    <xf numFmtId="164" fontId="0" fillId="0" borderId="0" xfId="42" applyNumberFormat="1" applyFont="1" applyAlignment="1">
      <alignment/>
    </xf>
    <xf numFmtId="164" fontId="38" fillId="0" borderId="11" xfId="42" applyNumberFormat="1" applyFont="1" applyFill="1" applyBorder="1" applyAlignment="1">
      <alignment vertical="top"/>
    </xf>
    <xf numFmtId="3" fontId="14" fillId="33" borderId="10" xfId="0" applyNumberFormat="1" applyFont="1" applyFill="1" applyBorder="1" applyAlignment="1">
      <alignment vertical="distributed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164" fontId="15" fillId="0" borderId="10" xfId="42" applyNumberFormat="1" applyFont="1" applyBorder="1" applyAlignment="1">
      <alignment horizontal="center" vertical="center" wrapText="1"/>
    </xf>
    <xf numFmtId="164" fontId="15" fillId="33" borderId="10" xfId="42" applyNumberFormat="1" applyFont="1" applyFill="1" applyBorder="1" applyAlignment="1">
      <alignment horizontal="center" vertical="center" wrapText="1"/>
    </xf>
    <xf numFmtId="164" fontId="15" fillId="0" borderId="0" xfId="42" applyNumberFormat="1" applyFont="1" applyAlignment="1">
      <alignment horizontal="center" vertical="center" wrapText="1"/>
    </xf>
    <xf numFmtId="164" fontId="26" fillId="0" borderId="11" xfId="42" applyNumberFormat="1" applyFont="1" applyFill="1" applyBorder="1" applyAlignment="1">
      <alignment vertical="top"/>
    </xf>
    <xf numFmtId="164" fontId="26" fillId="0" borderId="11" xfId="42" applyNumberFormat="1" applyFont="1" applyFill="1" applyBorder="1" applyAlignment="1">
      <alignment vertical="top"/>
    </xf>
    <xf numFmtId="164" fontId="26" fillId="0" borderId="10" xfId="42" applyNumberFormat="1" applyFont="1" applyFill="1" applyBorder="1" applyAlignment="1">
      <alignment vertical="top"/>
    </xf>
    <xf numFmtId="164" fontId="31" fillId="0" borderId="17" xfId="42" applyNumberFormat="1" applyFont="1" applyFill="1" applyBorder="1" applyAlignment="1">
      <alignment vertical="top"/>
    </xf>
    <xf numFmtId="3" fontId="32" fillId="0" borderId="17" xfId="0" applyNumberFormat="1" applyFont="1" applyBorder="1" applyAlignment="1">
      <alignment vertical="distributed"/>
    </xf>
    <xf numFmtId="164" fontId="31" fillId="0" borderId="14" xfId="42" applyNumberFormat="1" applyFont="1" applyFill="1" applyBorder="1" applyAlignment="1">
      <alignment vertical="top"/>
    </xf>
    <xf numFmtId="3" fontId="32" fillId="0" borderId="14" xfId="0" applyNumberFormat="1" applyFont="1" applyBorder="1" applyAlignment="1">
      <alignment vertical="distributed"/>
    </xf>
    <xf numFmtId="164" fontId="31" fillId="0" borderId="14" xfId="42" applyNumberFormat="1" applyFont="1" applyFill="1" applyBorder="1" applyAlignment="1">
      <alignment vertical="top"/>
    </xf>
    <xf numFmtId="164" fontId="31" fillId="0" borderId="20" xfId="42" applyNumberFormat="1" applyFont="1" applyFill="1" applyBorder="1" applyAlignment="1">
      <alignment vertical="top"/>
    </xf>
    <xf numFmtId="3" fontId="32" fillId="0" borderId="20" xfId="0" applyNumberFormat="1" applyFont="1" applyBorder="1" applyAlignment="1">
      <alignment vertical="distributed"/>
    </xf>
    <xf numFmtId="164" fontId="26" fillId="0" borderId="10" xfId="42" applyNumberFormat="1" applyFont="1" applyFill="1" applyBorder="1" applyAlignment="1">
      <alignment vertical="top"/>
    </xf>
    <xf numFmtId="164" fontId="26" fillId="0" borderId="17" xfId="42" applyNumberFormat="1" applyFont="1" applyFill="1" applyBorder="1" applyAlignment="1">
      <alignment vertical="top"/>
    </xf>
    <xf numFmtId="164" fontId="26" fillId="0" borderId="14" xfId="42" applyNumberFormat="1" applyFont="1" applyFill="1" applyBorder="1" applyAlignment="1">
      <alignment vertical="top"/>
    </xf>
    <xf numFmtId="164" fontId="26" fillId="0" borderId="20" xfId="42" applyNumberFormat="1" applyFont="1" applyFill="1" applyBorder="1" applyAlignment="1">
      <alignment vertical="top"/>
    </xf>
    <xf numFmtId="165" fontId="13" fillId="0" borderId="10" xfId="58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64" fontId="9" fillId="0" borderId="11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89" fillId="0" borderId="0" xfId="0" applyFont="1" applyAlignment="1">
      <alignment horizontal="center"/>
    </xf>
    <xf numFmtId="164" fontId="76" fillId="0" borderId="0" xfId="42" applyNumberFormat="1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5" xfId="0" applyFont="1" applyBorder="1" applyAlignment="1" quotePrefix="1">
      <alignment horizontal="center"/>
    </xf>
    <xf numFmtId="0" fontId="11" fillId="0" borderId="15" xfId="0" applyFont="1" applyBorder="1" applyAlignment="1">
      <alignment/>
    </xf>
    <xf numFmtId="0" fontId="11" fillId="0" borderId="10" xfId="0" applyFont="1" applyBorder="1" applyAlignment="1" quotePrefix="1">
      <alignment horizontal="center"/>
    </xf>
    <xf numFmtId="0" fontId="17" fillId="0" borderId="10" xfId="0" applyFont="1" applyBorder="1" applyAlignment="1">
      <alignment/>
    </xf>
    <xf numFmtId="0" fontId="9" fillId="0" borderId="13" xfId="0" applyFont="1" applyBorder="1" applyAlignment="1" quotePrefix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 quotePrefix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5" fillId="8" borderId="10" xfId="0" applyFont="1" applyFill="1" applyBorder="1" applyAlignment="1">
      <alignment vertical="center" wrapText="1"/>
    </xf>
    <xf numFmtId="164" fontId="15" fillId="8" borderId="10" xfId="42" applyNumberFormat="1" applyFont="1" applyFill="1" applyBorder="1" applyAlignment="1">
      <alignment horizontal="center" vertical="center" wrapText="1"/>
    </xf>
    <xf numFmtId="9" fontId="15" fillId="8" borderId="10" xfId="58" applyFont="1" applyFill="1" applyBorder="1" applyAlignment="1">
      <alignment horizontal="center" vertical="center" wrapText="1"/>
    </xf>
    <xf numFmtId="164" fontId="26" fillId="0" borderId="22" xfId="42" applyNumberFormat="1" applyFont="1" applyFill="1" applyBorder="1" applyAlignment="1">
      <alignment vertical="top"/>
    </xf>
    <xf numFmtId="3" fontId="90" fillId="33" borderId="10" xfId="0" applyNumberFormat="1" applyFont="1" applyFill="1" applyBorder="1" applyAlignment="1">
      <alignment vertical="distributed"/>
    </xf>
    <xf numFmtId="9" fontId="90" fillId="0" borderId="10" xfId="58" applyFont="1" applyFill="1" applyBorder="1" applyAlignment="1">
      <alignment horizontal="right" vertical="distributed"/>
    </xf>
    <xf numFmtId="9" fontId="90" fillId="0" borderId="10" xfId="58" applyFont="1" applyFill="1" applyBorder="1" applyAlignment="1">
      <alignment vertical="distributed"/>
    </xf>
    <xf numFmtId="9" fontId="32" fillId="0" borderId="12" xfId="58" applyFont="1" applyFill="1" applyBorder="1" applyAlignment="1">
      <alignment horizontal="right" vertical="distributed"/>
    </xf>
    <xf numFmtId="0" fontId="28" fillId="0" borderId="28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2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4" fontId="10" fillId="0" borderId="28" xfId="42" applyNumberFormat="1" applyFont="1" applyBorder="1" applyAlignment="1">
      <alignment horizontal="center" vertical="center" wrapText="1"/>
    </xf>
    <xf numFmtId="164" fontId="39" fillId="0" borderId="11" xfId="42" applyNumberFormat="1" applyFont="1" applyBorder="1" applyAlignment="1">
      <alignment horizontal="center" vertical="center" wrapText="1"/>
    </xf>
    <xf numFmtId="164" fontId="10" fillId="0" borderId="11" xfId="42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4" fontId="20" fillId="0" borderId="0" xfId="42" applyNumberFormat="1" applyFont="1" applyAlignment="1">
      <alignment horizontal="center" vertical="center" wrapText="1"/>
    </xf>
    <xf numFmtId="164" fontId="15" fillId="0" borderId="0" xfId="42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64" fontId="15" fillId="0" borderId="10" xfId="42" applyNumberFormat="1" applyFont="1" applyBorder="1" applyAlignment="1">
      <alignment horizontal="center" vertical="center" wrapText="1"/>
    </xf>
    <xf numFmtId="164" fontId="15" fillId="33" borderId="10" xfId="42" applyNumberFormat="1" applyFont="1" applyFill="1" applyBorder="1" applyAlignment="1">
      <alignment horizontal="center" vertical="center" wrapText="1"/>
    </xf>
    <xf numFmtId="164" fontId="11" fillId="0" borderId="0" xfId="42" applyNumberFormat="1" applyFont="1" applyAlignment="1">
      <alignment horizontal="center"/>
    </xf>
    <xf numFmtId="0" fontId="14" fillId="0" borderId="0" xfId="0" applyFont="1" applyAlignment="1">
      <alignment horizontal="center"/>
    </xf>
    <xf numFmtId="164" fontId="15" fillId="0" borderId="0" xfId="42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91" fillId="33" borderId="28" xfId="0" applyFont="1" applyFill="1" applyBorder="1" applyAlignment="1">
      <alignment horizontal="center" vertical="center" wrapText="1"/>
    </xf>
    <xf numFmtId="0" fontId="91" fillId="33" borderId="11" xfId="0" applyFont="1" applyFill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distributed"/>
    </xf>
    <xf numFmtId="3" fontId="28" fillId="0" borderId="31" xfId="0" applyNumberFormat="1" applyFont="1" applyBorder="1" applyAlignment="1">
      <alignment horizontal="center" vertical="distributed"/>
    </xf>
    <xf numFmtId="0" fontId="87" fillId="0" borderId="0" xfId="0" applyFont="1" applyAlignment="1">
      <alignment horizontal="center" vertical="distributed"/>
    </xf>
    <xf numFmtId="164" fontId="79" fillId="0" borderId="28" xfId="42" applyNumberFormat="1" applyFont="1" applyBorder="1" applyAlignment="1">
      <alignment horizontal="center" vertical="center" wrapText="1"/>
    </xf>
    <xf numFmtId="164" fontId="79" fillId="0" borderId="11" xfId="42" applyNumberFormat="1" applyFont="1" applyBorder="1" applyAlignment="1">
      <alignment horizontal="center" vertical="center" wrapText="1"/>
    </xf>
    <xf numFmtId="0" fontId="92" fillId="0" borderId="0" xfId="0" applyFont="1" applyAlignment="1">
      <alignment horizontal="center"/>
    </xf>
    <xf numFmtId="0" fontId="28" fillId="0" borderId="2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8" xfId="55" applyFont="1" applyBorder="1" applyAlignment="1">
      <alignment horizontal="center" vertical="center"/>
      <protection/>
    </xf>
    <xf numFmtId="0" fontId="28" fillId="0" borderId="11" xfId="55" applyFont="1" applyBorder="1" applyAlignment="1">
      <alignment horizontal="center" vertical="center"/>
      <protection/>
    </xf>
    <xf numFmtId="0" fontId="83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0" fillId="0" borderId="27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3"/>
  <sheetViews>
    <sheetView tabSelected="1" zoomScalePageLayoutView="0" workbookViewId="0" topLeftCell="A1">
      <selection activeCell="D27" sqref="D27"/>
    </sheetView>
  </sheetViews>
  <sheetFormatPr defaultColWidth="9.00390625" defaultRowHeight="15.75"/>
  <cols>
    <col min="1" max="1" width="7.25390625" style="0" customWidth="1"/>
    <col min="2" max="2" width="57.25390625" style="0" customWidth="1"/>
    <col min="3" max="3" width="22.50390625" style="6" customWidth="1"/>
    <col min="4" max="4" width="22.75390625" style="6" customWidth="1"/>
    <col min="5" max="5" width="9.125" style="201" customWidth="1"/>
    <col min="6" max="6" width="22.25390625" style="6" customWidth="1"/>
    <col min="7" max="7" width="12.375" style="204" customWidth="1"/>
    <col min="8" max="8" width="21.375" style="0" customWidth="1"/>
  </cols>
  <sheetData>
    <row r="1" spans="1:7" ht="15">
      <c r="A1" s="260" t="s">
        <v>35</v>
      </c>
      <c r="B1" s="260"/>
      <c r="C1" s="261" t="s">
        <v>15</v>
      </c>
      <c r="D1" s="261"/>
      <c r="E1" s="261"/>
      <c r="F1" s="261"/>
      <c r="G1" s="261"/>
    </row>
    <row r="2" spans="1:7" ht="15">
      <c r="A2" s="262" t="s">
        <v>36</v>
      </c>
      <c r="B2" s="262"/>
      <c r="C2" s="261" t="s">
        <v>16</v>
      </c>
      <c r="D2" s="261"/>
      <c r="E2" s="261"/>
      <c r="F2" s="261"/>
      <c r="G2" s="261"/>
    </row>
    <row r="3" spans="1:2" ht="19.5" customHeight="1">
      <c r="A3" s="10"/>
      <c r="B3" s="10"/>
    </row>
    <row r="4" ht="20.25" customHeight="1"/>
    <row r="5" spans="1:13" ht="28.5" customHeight="1">
      <c r="A5" s="259" t="s">
        <v>17</v>
      </c>
      <c r="B5" s="259"/>
      <c r="C5" s="259"/>
      <c r="D5" s="259"/>
      <c r="E5" s="259"/>
      <c r="F5" s="259"/>
      <c r="G5" s="259"/>
      <c r="H5" s="1"/>
      <c r="I5" s="1"/>
      <c r="J5" s="1"/>
      <c r="K5" s="1"/>
      <c r="L5" s="1"/>
      <c r="M5" s="1"/>
    </row>
    <row r="6" spans="1:7" ht="22.5" customHeight="1">
      <c r="A6" s="259" t="s">
        <v>180</v>
      </c>
      <c r="B6" s="259"/>
      <c r="C6" s="259"/>
      <c r="D6" s="259"/>
      <c r="E6" s="259"/>
      <c r="F6" s="259"/>
      <c r="G6" s="259"/>
    </row>
    <row r="7" spans="6:8" ht="19.5" customHeight="1">
      <c r="F7" s="227" t="s">
        <v>14</v>
      </c>
      <c r="H7" s="204"/>
    </row>
    <row r="9" spans="1:7" s="2" customFormat="1" ht="22.5" customHeight="1">
      <c r="A9" s="263" t="s">
        <v>0</v>
      </c>
      <c r="B9" s="263" t="s">
        <v>3</v>
      </c>
      <c r="C9" s="265" t="s">
        <v>58</v>
      </c>
      <c r="D9" s="265" t="s">
        <v>181</v>
      </c>
      <c r="E9" s="265" t="s">
        <v>176</v>
      </c>
      <c r="F9" s="265" t="s">
        <v>185</v>
      </c>
      <c r="G9" s="257" t="s">
        <v>179</v>
      </c>
    </row>
    <row r="10" spans="1:7" s="2" customFormat="1" ht="50.25" customHeight="1">
      <c r="A10" s="264"/>
      <c r="B10" s="264"/>
      <c r="C10" s="266"/>
      <c r="D10" s="267"/>
      <c r="E10" s="267"/>
      <c r="F10" s="267"/>
      <c r="G10" s="258"/>
    </row>
    <row r="11" spans="1:7" s="2" customFormat="1" ht="23.25" customHeight="1">
      <c r="A11" s="229" t="s">
        <v>1</v>
      </c>
      <c r="B11" s="229" t="s">
        <v>2</v>
      </c>
      <c r="C11" s="15">
        <v>1</v>
      </c>
      <c r="D11" s="15">
        <v>2</v>
      </c>
      <c r="E11" s="15"/>
      <c r="F11" s="15">
        <v>3</v>
      </c>
      <c r="G11" s="29" t="s">
        <v>4</v>
      </c>
    </row>
    <row r="12" spans="1:9" s="2" customFormat="1" ht="21">
      <c r="A12" s="230" t="s">
        <v>1</v>
      </c>
      <c r="B12" s="231" t="s">
        <v>49</v>
      </c>
      <c r="C12" s="16">
        <f>C13+C18+C19</f>
        <v>3431460000000</v>
      </c>
      <c r="D12" s="16">
        <f>D13+D18+D19</f>
        <v>1216834105440</v>
      </c>
      <c r="E12" s="23">
        <f>D12/C12*100%</f>
        <v>0.35461118749453585</v>
      </c>
      <c r="F12" s="16">
        <f>F13+F18+F19</f>
        <v>3772435160926</v>
      </c>
      <c r="G12" s="23">
        <f>F12/C12</f>
        <v>1.0993673715928496</v>
      </c>
      <c r="I12" s="8"/>
    </row>
    <row r="13" spans="1:7" s="2" customFormat="1" ht="19.5">
      <c r="A13" s="232" t="s">
        <v>5</v>
      </c>
      <c r="B13" s="233" t="s">
        <v>41</v>
      </c>
      <c r="C13" s="19">
        <f>SUM(C15:C16)</f>
        <v>1900650000000</v>
      </c>
      <c r="D13" s="19">
        <f>SUM(D15:D16)</f>
        <v>551317105440</v>
      </c>
      <c r="E13" s="23">
        <f aca="true" t="shared" si="0" ref="E13:E32">D13/C13*100%</f>
        <v>0.29006766392549915</v>
      </c>
      <c r="F13" s="19">
        <f>SUM(F15:F16)</f>
        <v>2267835160926</v>
      </c>
      <c r="G13" s="23">
        <f aca="true" t="shared" si="1" ref="G13:G32">F13/C13</f>
        <v>1.1931892567942546</v>
      </c>
    </row>
    <row r="14" spans="1:7" s="2" customFormat="1" ht="19.5">
      <c r="A14" s="234"/>
      <c r="B14" s="235" t="s">
        <v>55</v>
      </c>
      <c r="C14" s="30">
        <f>C15-354000000000</f>
        <v>1546650000000</v>
      </c>
      <c r="D14" s="30">
        <v>453390367734</v>
      </c>
      <c r="E14" s="23">
        <f t="shared" si="0"/>
        <v>0.2931434828396858</v>
      </c>
      <c r="F14" s="30">
        <v>1750858609578</v>
      </c>
      <c r="G14" s="23">
        <f t="shared" si="1"/>
        <v>1.1320328513742606</v>
      </c>
    </row>
    <row r="15" spans="1:8" s="2" customFormat="1" ht="19.5">
      <c r="A15" s="236">
        <v>1</v>
      </c>
      <c r="B15" s="237" t="s">
        <v>42</v>
      </c>
      <c r="C15" s="13">
        <v>1900650000000</v>
      </c>
      <c r="D15" s="30">
        <v>551317105440</v>
      </c>
      <c r="E15" s="23">
        <f t="shared" si="0"/>
        <v>0.29006766392549915</v>
      </c>
      <c r="F15" s="13">
        <v>2267835160926</v>
      </c>
      <c r="G15" s="23">
        <f t="shared" si="1"/>
        <v>1.1931892567942546</v>
      </c>
      <c r="H15" s="228"/>
    </row>
    <row r="16" spans="1:7" s="2" customFormat="1" ht="19.5">
      <c r="A16" s="238">
        <v>2</v>
      </c>
      <c r="B16" s="239" t="s">
        <v>20</v>
      </c>
      <c r="C16" s="18">
        <v>0</v>
      </c>
      <c r="D16" s="14"/>
      <c r="E16" s="23"/>
      <c r="F16" s="14"/>
      <c r="G16" s="23"/>
    </row>
    <row r="17" spans="1:7" s="2" customFormat="1" ht="19.5">
      <c r="A17" s="240">
        <v>3</v>
      </c>
      <c r="B17" s="239" t="s">
        <v>34</v>
      </c>
      <c r="C17" s="18">
        <v>0</v>
      </c>
      <c r="D17" s="18"/>
      <c r="E17" s="23"/>
      <c r="F17" s="18"/>
      <c r="G17" s="23"/>
    </row>
    <row r="18" spans="1:8" s="2" customFormat="1" ht="19.5">
      <c r="A18" s="240">
        <v>4</v>
      </c>
      <c r="B18" s="239" t="s">
        <v>27</v>
      </c>
      <c r="C18" s="18">
        <v>1504600000000</v>
      </c>
      <c r="D18" s="18">
        <v>665517000000</v>
      </c>
      <c r="E18" s="23">
        <f t="shared" si="0"/>
        <v>0.44232154725508444</v>
      </c>
      <c r="F18" s="18">
        <v>1504600000000</v>
      </c>
      <c r="G18" s="23">
        <f t="shared" si="1"/>
        <v>1</v>
      </c>
      <c r="H18" s="228"/>
    </row>
    <row r="19" spans="1:8" s="2" customFormat="1" ht="19.5">
      <c r="A19" s="240">
        <v>5</v>
      </c>
      <c r="B19" s="239" t="s">
        <v>44</v>
      </c>
      <c r="C19" s="18">
        <v>26210000000</v>
      </c>
      <c r="D19" s="18">
        <v>0</v>
      </c>
      <c r="E19" s="23"/>
      <c r="F19" s="18"/>
      <c r="G19" s="23"/>
      <c r="H19" s="31"/>
    </row>
    <row r="20" spans="1:7" s="2" customFormat="1" ht="19.5">
      <c r="A20" s="241" t="s">
        <v>8</v>
      </c>
      <c r="B20" s="233" t="s">
        <v>46</v>
      </c>
      <c r="C20" s="18"/>
      <c r="D20" s="18"/>
      <c r="E20" s="23"/>
      <c r="F20" s="18"/>
      <c r="G20" s="23"/>
    </row>
    <row r="21" spans="1:8" s="2" customFormat="1" ht="21">
      <c r="A21" s="230" t="s">
        <v>2</v>
      </c>
      <c r="B21" s="231" t="s">
        <v>47</v>
      </c>
      <c r="C21" s="20">
        <f>C22+C41</f>
        <v>4390556000000</v>
      </c>
      <c r="D21" s="20">
        <f>D22+D41+D42+D43</f>
        <v>1335790438895</v>
      </c>
      <c r="E21" s="223">
        <f t="shared" si="0"/>
        <v>0.30424174954037714</v>
      </c>
      <c r="F21" s="20">
        <f>F22+F41+F42+F43</f>
        <v>4421991976456</v>
      </c>
      <c r="G21" s="23">
        <f t="shared" si="1"/>
        <v>1.0071599078695272</v>
      </c>
      <c r="H21" s="31"/>
    </row>
    <row r="22" spans="1:7" s="2" customFormat="1" ht="19.5">
      <c r="A22" s="242" t="s">
        <v>5</v>
      </c>
      <c r="B22" s="243" t="s">
        <v>21</v>
      </c>
      <c r="C22" s="27">
        <f>C23+C30+C33+C38+C37</f>
        <v>4390556000000</v>
      </c>
      <c r="D22" s="27">
        <f>D23+D30+D37+D38</f>
        <v>1271302173110</v>
      </c>
      <c r="E22" s="223">
        <f t="shared" si="0"/>
        <v>0.289553799817153</v>
      </c>
      <c r="F22" s="27">
        <f>F23+F30+F37+F38</f>
        <v>3564068713928</v>
      </c>
      <c r="G22" s="23">
        <f t="shared" si="1"/>
        <v>0.8117579445354984</v>
      </c>
    </row>
    <row r="23" spans="1:8" s="2" customFormat="1" ht="19.5">
      <c r="A23" s="230">
        <v>1</v>
      </c>
      <c r="B23" s="231" t="s">
        <v>6</v>
      </c>
      <c r="C23" s="26">
        <f>SUM(C25:C28)</f>
        <v>1103382000000</v>
      </c>
      <c r="D23" s="26">
        <f>SUM(D25:D28)</f>
        <v>635172000000</v>
      </c>
      <c r="E23" s="223">
        <f t="shared" si="0"/>
        <v>0.5756592005307318</v>
      </c>
      <c r="F23" s="26">
        <f>SUM(F25:F28)</f>
        <v>1103382000000</v>
      </c>
      <c r="G23" s="23">
        <f t="shared" si="1"/>
        <v>1</v>
      </c>
      <c r="H23" s="31">
        <f>3564068713928-F22</f>
        <v>0</v>
      </c>
    </row>
    <row r="24" spans="1:7" s="2" customFormat="1" ht="19.5" hidden="1">
      <c r="A24" s="230" t="s">
        <v>18</v>
      </c>
      <c r="B24" s="231" t="s">
        <v>51</v>
      </c>
      <c r="C24" s="26">
        <f>SUM(C25:C27)</f>
        <v>853382000000</v>
      </c>
      <c r="D24" s="26">
        <f>SUM(D25:D27)</f>
        <v>385172000000</v>
      </c>
      <c r="E24" s="223">
        <f t="shared" si="0"/>
        <v>0.4513476965766796</v>
      </c>
      <c r="F24" s="26">
        <f>SUM(F25:F27)</f>
        <v>853382000000</v>
      </c>
      <c r="G24" s="23">
        <f t="shared" si="1"/>
        <v>1</v>
      </c>
    </row>
    <row r="25" spans="1:7" s="2" customFormat="1" ht="19.5">
      <c r="A25" s="236" t="s">
        <v>50</v>
      </c>
      <c r="B25" s="237" t="s">
        <v>37</v>
      </c>
      <c r="C25" s="202">
        <v>149305000000</v>
      </c>
      <c r="D25" s="13">
        <f>149305000000-123093000000</f>
        <v>26212000000</v>
      </c>
      <c r="E25" s="223">
        <f t="shared" si="0"/>
        <v>0.17556009510733064</v>
      </c>
      <c r="F25" s="13">
        <v>149305000000</v>
      </c>
      <c r="G25" s="23">
        <f t="shared" si="1"/>
        <v>1</v>
      </c>
    </row>
    <row r="26" spans="1:8" s="2" customFormat="1" ht="19.5">
      <c r="A26" s="238" t="s">
        <v>50</v>
      </c>
      <c r="B26" s="244" t="s">
        <v>38</v>
      </c>
      <c r="C26" s="202">
        <v>572134000000</v>
      </c>
      <c r="D26" s="13">
        <v>285995000000</v>
      </c>
      <c r="E26" s="223">
        <f t="shared" si="0"/>
        <v>0.499874155355214</v>
      </c>
      <c r="F26" s="14">
        <v>572134000000</v>
      </c>
      <c r="G26" s="23">
        <f t="shared" si="1"/>
        <v>1</v>
      </c>
      <c r="H26" s="228"/>
    </row>
    <row r="27" spans="1:8" s="2" customFormat="1" ht="19.5">
      <c r="A27" s="238" t="s">
        <v>50</v>
      </c>
      <c r="B27" s="244" t="s">
        <v>39</v>
      </c>
      <c r="C27" s="202">
        <v>131943000000</v>
      </c>
      <c r="D27" s="13">
        <v>72965000000</v>
      </c>
      <c r="E27" s="223">
        <f t="shared" si="0"/>
        <v>0.5530039486748065</v>
      </c>
      <c r="F27" s="14">
        <v>131943000000</v>
      </c>
      <c r="G27" s="23">
        <f t="shared" si="1"/>
        <v>1</v>
      </c>
      <c r="H27" s="31"/>
    </row>
    <row r="28" spans="1:8" s="2" customFormat="1" ht="19.5">
      <c r="A28" s="245" t="s">
        <v>50</v>
      </c>
      <c r="B28" s="239" t="s">
        <v>45</v>
      </c>
      <c r="C28" s="202">
        <v>250000000000</v>
      </c>
      <c r="D28" s="18">
        <f>F28-0</f>
        <v>250000000000</v>
      </c>
      <c r="E28" s="223">
        <f t="shared" si="0"/>
        <v>1</v>
      </c>
      <c r="F28" s="18">
        <v>250000000000</v>
      </c>
      <c r="G28" s="23">
        <f t="shared" si="1"/>
        <v>1</v>
      </c>
      <c r="H28" s="31"/>
    </row>
    <row r="29" spans="1:7" s="2" customFormat="1" ht="19.5" hidden="1">
      <c r="A29" s="230" t="s">
        <v>19</v>
      </c>
      <c r="B29" s="231" t="s">
        <v>52</v>
      </c>
      <c r="C29" s="22">
        <v>0</v>
      </c>
      <c r="D29" s="26"/>
      <c r="E29" s="223"/>
      <c r="F29" s="26"/>
      <c r="G29" s="23"/>
    </row>
    <row r="30" spans="1:7" s="2" customFormat="1" ht="19.5">
      <c r="A30" s="230">
        <v>2</v>
      </c>
      <c r="B30" s="231" t="s">
        <v>22</v>
      </c>
      <c r="C30" s="26">
        <f>C31+C32</f>
        <v>3149515000000</v>
      </c>
      <c r="D30" s="26">
        <f>D31+D32</f>
        <v>633634328110</v>
      </c>
      <c r="E30" s="223">
        <f t="shared" si="0"/>
        <v>0.20118473101731538</v>
      </c>
      <c r="F30" s="26">
        <f>F31+F32</f>
        <v>2446928208928</v>
      </c>
      <c r="G30" s="23">
        <f t="shared" si="1"/>
        <v>0.7769222273677058</v>
      </c>
    </row>
    <row r="31" spans="1:7" s="2" customFormat="1" ht="19.5">
      <c r="A31" s="246"/>
      <c r="B31" s="237" t="s">
        <v>23</v>
      </c>
      <c r="C31" s="13">
        <v>2549592000000</v>
      </c>
      <c r="D31" s="13">
        <f>1907612313839-1366847997864</f>
        <v>540764315975</v>
      </c>
      <c r="E31" s="223">
        <f t="shared" si="0"/>
        <v>0.21209837337699522</v>
      </c>
      <c r="F31" s="13">
        <v>1907612313839</v>
      </c>
      <c r="G31" s="23">
        <f t="shared" si="1"/>
        <v>0.7482029728046684</v>
      </c>
    </row>
    <row r="32" spans="1:7" s="2" customFormat="1" ht="19.5">
      <c r="A32" s="241"/>
      <c r="B32" s="239" t="s">
        <v>33</v>
      </c>
      <c r="C32" s="18">
        <v>599923000000</v>
      </c>
      <c r="D32" s="13">
        <f>539315895089-446445882954</f>
        <v>92870012135</v>
      </c>
      <c r="E32" s="223">
        <f t="shared" si="0"/>
        <v>0.15480321997156302</v>
      </c>
      <c r="F32" s="203">
        <v>539315895089</v>
      </c>
      <c r="G32" s="23">
        <f t="shared" si="1"/>
        <v>0.898975193631516</v>
      </c>
    </row>
    <row r="33" spans="1:7" s="2" customFormat="1" ht="18">
      <c r="A33" s="230">
        <v>3</v>
      </c>
      <c r="B33" s="231" t="s">
        <v>7</v>
      </c>
      <c r="C33" s="26">
        <f>C34+C35</f>
        <v>56900000000</v>
      </c>
      <c r="D33" s="22">
        <v>0</v>
      </c>
      <c r="E33" s="22"/>
      <c r="F33" s="22">
        <v>0</v>
      </c>
      <c r="G33" s="22"/>
    </row>
    <row r="34" spans="1:7" s="2" customFormat="1" ht="18">
      <c r="A34" s="246"/>
      <c r="B34" s="247" t="s">
        <v>23</v>
      </c>
      <c r="C34" s="13">
        <v>51365000000</v>
      </c>
      <c r="D34" s="13"/>
      <c r="E34" s="13"/>
      <c r="F34" s="13">
        <v>0</v>
      </c>
      <c r="G34" s="17"/>
    </row>
    <row r="35" spans="1:7" s="2" customFormat="1" ht="18">
      <c r="A35" s="241"/>
      <c r="B35" s="239" t="s">
        <v>33</v>
      </c>
      <c r="C35" s="18">
        <v>5535000000</v>
      </c>
      <c r="D35" s="18"/>
      <c r="E35" s="18"/>
      <c r="F35" s="18">
        <v>0</v>
      </c>
      <c r="G35" s="17"/>
    </row>
    <row r="36" spans="1:7" s="2" customFormat="1" ht="18">
      <c r="A36" s="230">
        <v>4</v>
      </c>
      <c r="B36" s="231" t="s">
        <v>40</v>
      </c>
      <c r="C36" s="26"/>
      <c r="D36" s="22"/>
      <c r="E36" s="22"/>
      <c r="F36" s="22">
        <v>0</v>
      </c>
      <c r="G36" s="24"/>
    </row>
    <row r="37" spans="1:7" s="2" customFormat="1" ht="18">
      <c r="A37" s="230">
        <v>5</v>
      </c>
      <c r="B37" s="231" t="s">
        <v>54</v>
      </c>
      <c r="C37" s="26">
        <v>11000000000</v>
      </c>
      <c r="D37" s="22">
        <v>0</v>
      </c>
      <c r="E37" s="22"/>
      <c r="F37" s="22">
        <v>11000000000</v>
      </c>
      <c r="G37" s="17"/>
    </row>
    <row r="38" spans="1:7" s="2" customFormat="1" ht="19.5">
      <c r="A38" s="230">
        <v>6</v>
      </c>
      <c r="B38" s="248" t="s">
        <v>59</v>
      </c>
      <c r="C38" s="26">
        <v>69759000000</v>
      </c>
      <c r="D38" s="22">
        <v>2495845000</v>
      </c>
      <c r="E38" s="22"/>
      <c r="F38" s="22">
        <v>2758505000</v>
      </c>
      <c r="G38" s="23"/>
    </row>
    <row r="39" spans="1:7" s="2" customFormat="1" ht="19.5">
      <c r="A39" s="11"/>
      <c r="B39" s="4"/>
      <c r="C39" s="26"/>
      <c r="D39" s="26"/>
      <c r="E39" s="22"/>
      <c r="F39" s="26"/>
      <c r="G39" s="23"/>
    </row>
    <row r="40" spans="1:7" s="2" customFormat="1" ht="19.5">
      <c r="A40" s="11"/>
      <c r="B40" s="12"/>
      <c r="C40" s="27"/>
      <c r="D40" s="25"/>
      <c r="E40" s="25"/>
      <c r="F40" s="25"/>
      <c r="G40" s="21"/>
    </row>
    <row r="41" spans="1:7" s="2" customFormat="1" ht="18">
      <c r="A41" s="3" t="s">
        <v>8</v>
      </c>
      <c r="B41" s="4" t="s">
        <v>57</v>
      </c>
      <c r="C41" s="26">
        <v>0</v>
      </c>
      <c r="D41" s="22">
        <f>F41-403092165870</f>
        <v>74485126508</v>
      </c>
      <c r="E41" s="22"/>
      <c r="F41" s="22">
        <v>477577292378</v>
      </c>
      <c r="G41" s="224"/>
    </row>
    <row r="42" spans="1:7" s="2" customFormat="1" ht="18">
      <c r="A42" s="3" t="s">
        <v>9</v>
      </c>
      <c r="B42" s="9" t="s">
        <v>56</v>
      </c>
      <c r="C42" s="225"/>
      <c r="D42" s="22">
        <f>F42-390342830873</f>
        <v>-9996860723</v>
      </c>
      <c r="E42" s="225"/>
      <c r="F42" s="225">
        <v>380345970150</v>
      </c>
      <c r="G42" s="226"/>
    </row>
    <row r="43" spans="1:7" ht="18" hidden="1">
      <c r="A43" s="3" t="s">
        <v>13</v>
      </c>
      <c r="B43" s="9" t="s">
        <v>48</v>
      </c>
      <c r="C43" s="7"/>
      <c r="D43" s="28">
        <v>0</v>
      </c>
      <c r="E43" s="7"/>
      <c r="F43" s="7">
        <v>0</v>
      </c>
      <c r="G43" s="5"/>
    </row>
  </sheetData>
  <sheetProtection/>
  <mergeCells count="13">
    <mergeCell ref="G9:G10"/>
    <mergeCell ref="A6:G6"/>
    <mergeCell ref="A1:B1"/>
    <mergeCell ref="C1:G1"/>
    <mergeCell ref="A2:B2"/>
    <mergeCell ref="C2:G2"/>
    <mergeCell ref="A5:G5"/>
    <mergeCell ref="A9:A10"/>
    <mergeCell ref="B9:B10"/>
    <mergeCell ref="C9:C10"/>
    <mergeCell ref="D9:D10"/>
    <mergeCell ref="F9:F10"/>
    <mergeCell ref="E9:E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97"/>
  <sheetViews>
    <sheetView zoomScalePageLayoutView="0" workbookViewId="0" topLeftCell="B1">
      <pane xSplit="1" ySplit="9" topLeftCell="E26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N30" sqref="N30"/>
    </sheetView>
  </sheetViews>
  <sheetFormatPr defaultColWidth="9.00390625" defaultRowHeight="15.75"/>
  <cols>
    <col min="1" max="1" width="5.50390625" style="33" customWidth="1"/>
    <col min="2" max="2" width="40.50390625" style="33" customWidth="1"/>
    <col min="3" max="4" width="18.375" style="34" customWidth="1"/>
    <col min="5" max="5" width="17.375" style="34" customWidth="1"/>
    <col min="6" max="6" width="17.625" style="34" customWidth="1"/>
    <col min="7" max="7" width="7.75390625" style="34" customWidth="1"/>
    <col min="8" max="8" width="8.125" style="34" customWidth="1"/>
    <col min="9" max="9" width="18.25390625" style="34" customWidth="1"/>
    <col min="10" max="10" width="17.25390625" style="34" customWidth="1"/>
    <col min="11" max="11" width="7.125" style="33" customWidth="1"/>
    <col min="12" max="12" width="7.00390625" style="33" customWidth="1"/>
    <col min="13" max="13" width="6.50390625" style="33" customWidth="1"/>
    <col min="14" max="14" width="20.50390625" style="34" customWidth="1"/>
    <col min="15" max="16384" width="9.00390625" style="33" customWidth="1"/>
  </cols>
  <sheetData>
    <row r="1" spans="1:11" ht="15.75">
      <c r="A1" s="282" t="s">
        <v>35</v>
      </c>
      <c r="B1" s="282"/>
      <c r="C1" s="283" t="s">
        <v>15</v>
      </c>
      <c r="D1" s="283"/>
      <c r="E1" s="283"/>
      <c r="F1" s="283"/>
      <c r="G1" s="283"/>
      <c r="H1" s="283"/>
      <c r="I1" s="283"/>
      <c r="J1" s="283"/>
      <c r="K1" s="283"/>
    </row>
    <row r="2" spans="1:11" ht="15.75">
      <c r="A2" s="284" t="s">
        <v>36</v>
      </c>
      <c r="B2" s="284"/>
      <c r="C2" s="283" t="s">
        <v>60</v>
      </c>
      <c r="D2" s="283"/>
      <c r="E2" s="283"/>
      <c r="F2" s="283"/>
      <c r="G2" s="283"/>
      <c r="H2" s="283"/>
      <c r="I2" s="283"/>
      <c r="J2" s="283"/>
      <c r="K2" s="283"/>
    </row>
    <row r="3" spans="1:2" ht="15.75">
      <c r="A3" s="284"/>
      <c r="B3" s="284"/>
    </row>
    <row r="4" spans="1:11" ht="27" customHeight="1">
      <c r="A4" s="281" t="s">
        <v>182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0" ht="15.75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6:11" ht="15.75">
      <c r="F6" s="176"/>
      <c r="G6" s="176"/>
      <c r="H6" s="176"/>
      <c r="I6" s="176"/>
      <c r="J6" s="176" t="s">
        <v>173</v>
      </c>
      <c r="K6" s="176"/>
    </row>
    <row r="7" spans="1:13" ht="35.25" customHeight="1">
      <c r="A7" s="278" t="s">
        <v>0</v>
      </c>
      <c r="B7" s="278" t="s">
        <v>3</v>
      </c>
      <c r="C7" s="279" t="s">
        <v>58</v>
      </c>
      <c r="D7" s="279"/>
      <c r="E7" s="280" t="s">
        <v>183</v>
      </c>
      <c r="F7" s="280"/>
      <c r="G7" s="268" t="s">
        <v>61</v>
      </c>
      <c r="H7" s="270" t="s">
        <v>62</v>
      </c>
      <c r="I7" s="280" t="s">
        <v>184</v>
      </c>
      <c r="J7" s="280"/>
      <c r="K7" s="268" t="s">
        <v>61</v>
      </c>
      <c r="L7" s="270" t="s">
        <v>62</v>
      </c>
      <c r="M7" s="272" t="s">
        <v>120</v>
      </c>
    </row>
    <row r="8" spans="1:13" ht="55.5" customHeight="1">
      <c r="A8" s="278"/>
      <c r="B8" s="278"/>
      <c r="C8" s="206" t="s">
        <v>63</v>
      </c>
      <c r="D8" s="206" t="s">
        <v>64</v>
      </c>
      <c r="E8" s="206" t="s">
        <v>63</v>
      </c>
      <c r="F8" s="206" t="s">
        <v>64</v>
      </c>
      <c r="G8" s="269"/>
      <c r="H8" s="271"/>
      <c r="I8" s="206" t="s">
        <v>65</v>
      </c>
      <c r="J8" s="206" t="s">
        <v>64</v>
      </c>
      <c r="K8" s="269"/>
      <c r="L8" s="271"/>
      <c r="M8" s="273"/>
    </row>
    <row r="9" spans="1:13" ht="31.5">
      <c r="A9" s="35" t="s">
        <v>1</v>
      </c>
      <c r="B9" s="35" t="s">
        <v>2</v>
      </c>
      <c r="C9" s="36">
        <v>1</v>
      </c>
      <c r="D9" s="36">
        <v>2</v>
      </c>
      <c r="E9" s="36">
        <v>3</v>
      </c>
      <c r="F9" s="36">
        <v>4</v>
      </c>
      <c r="G9" s="36" t="s">
        <v>66</v>
      </c>
      <c r="H9" s="36" t="s">
        <v>67</v>
      </c>
      <c r="I9" s="36">
        <v>7</v>
      </c>
      <c r="J9" s="36">
        <v>8</v>
      </c>
      <c r="K9" s="35" t="s">
        <v>68</v>
      </c>
      <c r="L9" s="35" t="s">
        <v>69</v>
      </c>
      <c r="M9" s="35"/>
    </row>
    <row r="10" spans="1:14" ht="33.75" customHeight="1">
      <c r="A10" s="205"/>
      <c r="B10" s="205" t="s">
        <v>70</v>
      </c>
      <c r="C10" s="207">
        <f>C11+C38+C47+C53</f>
        <v>4267998000000</v>
      </c>
      <c r="D10" s="207">
        <f>D11+D38+D47+D53</f>
        <v>3032508000000</v>
      </c>
      <c r="E10" s="207">
        <f>E11+E38+E47+E53</f>
        <v>1584707724358</v>
      </c>
      <c r="F10" s="207">
        <f>F11+F38+F47+F53</f>
        <v>1216834105440.4</v>
      </c>
      <c r="G10" s="37">
        <f>E10/C10*100%</f>
        <v>0.371300015688386</v>
      </c>
      <c r="H10" s="37">
        <f>F10/D10*100%</f>
        <v>0.4012632795825765</v>
      </c>
      <c r="I10" s="207">
        <f>I11+I38+I47</f>
        <v>5210840308788</v>
      </c>
      <c r="J10" s="207">
        <f>J11+J38+J47</f>
        <v>3772435160926</v>
      </c>
      <c r="K10" s="38">
        <f>I10/C10*100%</f>
        <v>1.2209097353813192</v>
      </c>
      <c r="L10" s="38">
        <f>J10/D10*100%</f>
        <v>1.243998420095182</v>
      </c>
      <c r="M10" s="37">
        <f>I10/5007596325039</f>
        <v>1.0405871341371387</v>
      </c>
      <c r="N10" s="44"/>
    </row>
    <row r="11" spans="1:14" s="45" customFormat="1" ht="32.25" customHeight="1">
      <c r="A11" s="60" t="s">
        <v>5</v>
      </c>
      <c r="B11" s="249" t="s">
        <v>117</v>
      </c>
      <c r="C11" s="250">
        <f>C13+C19+C21+C23+C24+C25+C27+C29+C33+C35+C30+C32+C37</f>
        <v>3162350000000</v>
      </c>
      <c r="D11" s="250">
        <f>D13+D19+D21+D23+D24+D25+D27+D29+D33+D35+D30+D32+D37</f>
        <v>1900650000000</v>
      </c>
      <c r="E11" s="250">
        <f>E13+E19+E21+E23+E24+E25+E27+E29+E33+E35+E30+E32+E37</f>
        <v>919190724358</v>
      </c>
      <c r="F11" s="250">
        <f>F13+F19+F21+F23+F24+F25+F27+F29+F33+F35+F30+F32+F37</f>
        <v>551317105440.3999</v>
      </c>
      <c r="G11" s="251">
        <f aca="true" t="shared" si="0" ref="G11:H47">E11/C11*100%</f>
        <v>0.2906669800490142</v>
      </c>
      <c r="H11" s="251">
        <f t="shared" si="0"/>
        <v>0.2900676639257096</v>
      </c>
      <c r="I11" s="250">
        <f>I13+I19+I21+I23+I24+I25+I27+I29+I33+I35+I30+I32+I37</f>
        <v>3706240308788</v>
      </c>
      <c r="J11" s="250">
        <f>J13+J19+J21+J23+J24+J25+J27+J29+J33+J35+J30+J32+J37</f>
        <v>2267835160926</v>
      </c>
      <c r="K11" s="251">
        <f aca="true" t="shared" si="1" ref="K11:L19">I11/C11*100%</f>
        <v>1.1719892829029044</v>
      </c>
      <c r="L11" s="251">
        <f t="shared" si="1"/>
        <v>1.1931892567942546</v>
      </c>
      <c r="M11" s="251">
        <f>I11/3733651301589</f>
        <v>0.9926583950704411</v>
      </c>
      <c r="N11" s="44"/>
    </row>
    <row r="12" spans="1:14" s="45" customFormat="1" ht="25.5" customHeight="1">
      <c r="A12" s="60"/>
      <c r="B12" s="61" t="s">
        <v>118</v>
      </c>
      <c r="C12" s="62">
        <f>C11-C27</f>
        <v>2572350000000</v>
      </c>
      <c r="D12" s="62">
        <f>D11-D27</f>
        <v>1546650000000</v>
      </c>
      <c r="E12" s="62">
        <f>E11-E27</f>
        <v>755979494848</v>
      </c>
      <c r="F12" s="62">
        <f>F11-F27</f>
        <v>453390367734.3999</v>
      </c>
      <c r="G12" s="37">
        <f t="shared" si="0"/>
        <v>0.29388671636752384</v>
      </c>
      <c r="H12" s="37">
        <f t="shared" si="0"/>
        <v>0.29314348283994435</v>
      </c>
      <c r="I12" s="62">
        <f>I11-I27</f>
        <v>2844612723247</v>
      </c>
      <c r="J12" s="62">
        <f>J11-J27</f>
        <v>1750858609578</v>
      </c>
      <c r="K12" s="37">
        <f t="shared" si="1"/>
        <v>1.1058420212051236</v>
      </c>
      <c r="L12" s="37">
        <f t="shared" si="1"/>
        <v>1.1320328513742606</v>
      </c>
      <c r="M12" s="37">
        <f>I12/2728044786959</f>
        <v>1.0427294804122114</v>
      </c>
      <c r="N12" s="44"/>
    </row>
    <row r="13" spans="1:13" ht="31.5">
      <c r="A13" s="205">
        <v>1</v>
      </c>
      <c r="B13" s="41" t="s">
        <v>71</v>
      </c>
      <c r="C13" s="207">
        <f>SUM(C14:C18)</f>
        <v>1350000000000</v>
      </c>
      <c r="D13" s="207">
        <f aca="true" t="shared" si="2" ref="D13:J13">SUM(D14:D18)</f>
        <v>618500000000</v>
      </c>
      <c r="E13" s="207">
        <f t="shared" si="2"/>
        <v>392573663607</v>
      </c>
      <c r="F13" s="207">
        <f t="shared" si="2"/>
        <v>179551683717.6</v>
      </c>
      <c r="G13" s="37">
        <f t="shared" si="0"/>
        <v>0.29079530637555556</v>
      </c>
      <c r="H13" s="37">
        <f t="shared" si="0"/>
        <v>0.2903018330114794</v>
      </c>
      <c r="I13" s="207">
        <f t="shared" si="2"/>
        <v>1374452651685</v>
      </c>
      <c r="J13" s="207">
        <f t="shared" si="2"/>
        <v>632345223476</v>
      </c>
      <c r="K13" s="38">
        <f t="shared" si="1"/>
        <v>1.0181130753222223</v>
      </c>
      <c r="L13" s="37">
        <f t="shared" si="1"/>
        <v>1.0223851632594987</v>
      </c>
      <c r="M13" s="37">
        <f>I13/1512263716181</f>
        <v>0.9088710103790484</v>
      </c>
    </row>
    <row r="14" spans="1:18" ht="15.75">
      <c r="A14" s="35"/>
      <c r="B14" s="42" t="s">
        <v>72</v>
      </c>
      <c r="C14" s="43">
        <v>1083000000000</v>
      </c>
      <c r="D14" s="43">
        <f>C14*45%</f>
        <v>487350000000</v>
      </c>
      <c r="E14" s="43">
        <f>I14-757812547754</f>
        <v>294574737252</v>
      </c>
      <c r="F14" s="43">
        <f>E14*45%</f>
        <v>132558631763.40001</v>
      </c>
      <c r="G14" s="37">
        <f t="shared" si="0"/>
        <v>0.2719988340277008</v>
      </c>
      <c r="H14" s="37">
        <f t="shared" si="0"/>
        <v>0.27199883402770086</v>
      </c>
      <c r="I14" s="43">
        <v>1052387285006</v>
      </c>
      <c r="J14" s="43">
        <v>473576240878</v>
      </c>
      <c r="K14" s="38">
        <f t="shared" si="1"/>
        <v>0.9717334118245614</v>
      </c>
      <c r="L14" s="37">
        <f t="shared" si="1"/>
        <v>0.9717374389617318</v>
      </c>
      <c r="M14" s="37">
        <f>I14/1021772946693</f>
        <v>1.0299619777682354</v>
      </c>
      <c r="N14" s="44"/>
      <c r="O14" s="45"/>
      <c r="P14" s="45"/>
      <c r="Q14" s="45"/>
      <c r="R14" s="45"/>
    </row>
    <row r="15" spans="1:18" ht="15.75">
      <c r="A15" s="35"/>
      <c r="B15" s="42" t="s">
        <v>73</v>
      </c>
      <c r="C15" s="43">
        <v>245000000000</v>
      </c>
      <c r="D15" s="43">
        <f>C15*45%</f>
        <v>110250000000</v>
      </c>
      <c r="E15" s="43">
        <f>I15-202234388690</f>
        <v>91876629584</v>
      </c>
      <c r="F15" s="43">
        <f>E15*45%</f>
        <v>41344483312.8</v>
      </c>
      <c r="G15" s="37">
        <f t="shared" si="0"/>
        <v>0.37500665136326533</v>
      </c>
      <c r="H15" s="37">
        <f t="shared" si="0"/>
        <v>0.37500665136326533</v>
      </c>
      <c r="I15" s="43">
        <v>294111018274</v>
      </c>
      <c r="J15" s="43">
        <v>132351461533</v>
      </c>
      <c r="K15" s="38">
        <f t="shared" si="1"/>
        <v>1.200453135812245</v>
      </c>
      <c r="L15" s="37">
        <f t="shared" si="1"/>
        <v>1.2004667712743764</v>
      </c>
      <c r="M15" s="37">
        <f>I15/463286562466</f>
        <v>0.634836064979943</v>
      </c>
      <c r="N15" s="44"/>
      <c r="O15" s="45"/>
      <c r="P15" s="45"/>
      <c r="Q15" s="45"/>
      <c r="R15" s="45"/>
    </row>
    <row r="16" spans="1:18" ht="15.75">
      <c r="A16" s="35"/>
      <c r="B16" s="42" t="s">
        <v>74</v>
      </c>
      <c r="C16" s="43">
        <v>2000000000</v>
      </c>
      <c r="D16" s="43">
        <f>C16*45%</f>
        <v>900000000</v>
      </c>
      <c r="E16" s="43">
        <f>I16-1773139279</f>
        <v>861323872</v>
      </c>
      <c r="F16" s="43">
        <f>E16*45%</f>
        <v>387595742.40000004</v>
      </c>
      <c r="G16" s="37">
        <f t="shared" si="0"/>
        <v>0.430661936</v>
      </c>
      <c r="H16" s="37">
        <f t="shared" si="0"/>
        <v>0.430661936</v>
      </c>
      <c r="I16" s="43">
        <v>2634463151</v>
      </c>
      <c r="J16" s="43">
        <v>1097635811</v>
      </c>
      <c r="K16" s="38">
        <f t="shared" si="1"/>
        <v>1.3172315755</v>
      </c>
      <c r="L16" s="37">
        <f t="shared" si="1"/>
        <v>1.2195953455555555</v>
      </c>
      <c r="M16" s="37">
        <f>I16/1814404482</f>
        <v>1.45197125400399</v>
      </c>
      <c r="N16" s="44"/>
      <c r="O16" s="45"/>
      <c r="P16" s="45"/>
      <c r="Q16" s="45"/>
      <c r="R16" s="45"/>
    </row>
    <row r="17" spans="1:18" ht="31.5">
      <c r="A17" s="35"/>
      <c r="B17" s="46" t="s">
        <v>75</v>
      </c>
      <c r="C17" s="43"/>
      <c r="D17" s="43"/>
      <c r="E17" s="43"/>
      <c r="F17" s="43"/>
      <c r="G17" s="37"/>
      <c r="H17" s="37"/>
      <c r="I17" s="43"/>
      <c r="J17" s="43"/>
      <c r="K17" s="38"/>
      <c r="L17" s="37"/>
      <c r="M17" s="37"/>
      <c r="N17" s="44"/>
      <c r="O17" s="45"/>
      <c r="P17" s="45"/>
      <c r="Q17" s="45"/>
      <c r="R17" s="45"/>
    </row>
    <row r="18" spans="1:18" ht="15.75">
      <c r="A18" s="35"/>
      <c r="B18" s="42" t="s">
        <v>76</v>
      </c>
      <c r="C18" s="43">
        <v>20000000000</v>
      </c>
      <c r="D18" s="43">
        <f>C18</f>
        <v>20000000000</v>
      </c>
      <c r="E18" s="43">
        <f>I18-20058912355</f>
        <v>5260972899</v>
      </c>
      <c r="F18" s="43">
        <f>E18</f>
        <v>5260972899</v>
      </c>
      <c r="G18" s="37">
        <f t="shared" si="0"/>
        <v>0.26304864495</v>
      </c>
      <c r="H18" s="37">
        <f t="shared" si="0"/>
        <v>0.26304864495</v>
      </c>
      <c r="I18" s="43">
        <v>25319885254</v>
      </c>
      <c r="J18" s="43">
        <v>25319885254</v>
      </c>
      <c r="K18" s="38">
        <f t="shared" si="1"/>
        <v>1.2659942627</v>
      </c>
      <c r="L18" s="37">
        <f>J18/D18*100%</f>
        <v>1.2659942627</v>
      </c>
      <c r="M18" s="37">
        <f>I18/25389802540</f>
        <v>0.9972462453817886</v>
      </c>
      <c r="N18" s="44"/>
      <c r="O18" s="45"/>
      <c r="P18" s="45"/>
      <c r="Q18" s="45"/>
      <c r="R18" s="45"/>
    </row>
    <row r="19" spans="1:18" ht="20.25" customHeight="1">
      <c r="A19" s="205">
        <v>2</v>
      </c>
      <c r="B19" s="41" t="s">
        <v>10</v>
      </c>
      <c r="C19" s="207">
        <v>550000000000</v>
      </c>
      <c r="D19" s="207">
        <f>C19</f>
        <v>550000000000</v>
      </c>
      <c r="E19" s="207">
        <f>I19-463017660159</f>
        <v>143482249891</v>
      </c>
      <c r="F19" s="207">
        <f>E19</f>
        <v>143482249891</v>
      </c>
      <c r="G19" s="37">
        <f t="shared" si="0"/>
        <v>0.2608768179836364</v>
      </c>
      <c r="H19" s="37">
        <f t="shared" si="0"/>
        <v>0.2608768179836364</v>
      </c>
      <c r="I19" s="207">
        <v>606499910050</v>
      </c>
      <c r="J19" s="207">
        <v>606499910050</v>
      </c>
      <c r="K19" s="38">
        <f t="shared" si="1"/>
        <v>1.1027271091818183</v>
      </c>
      <c r="L19" s="37">
        <f>J19/D19*100%</f>
        <v>1.1027271091818183</v>
      </c>
      <c r="M19" s="37">
        <f>I19/533311402328</f>
        <v>1.1372340951318856</v>
      </c>
      <c r="N19" s="44"/>
      <c r="O19" s="45"/>
      <c r="P19" s="45"/>
      <c r="Q19" s="45"/>
      <c r="R19" s="45"/>
    </row>
    <row r="20" spans="1:13" ht="21" customHeight="1">
      <c r="A20" s="205">
        <v>3</v>
      </c>
      <c r="B20" s="41" t="s">
        <v>77</v>
      </c>
      <c r="C20" s="207">
        <v>0</v>
      </c>
      <c r="D20" s="43"/>
      <c r="E20" s="43"/>
      <c r="F20" s="207"/>
      <c r="G20" s="37"/>
      <c r="H20" s="37"/>
      <c r="I20" s="43">
        <v>0</v>
      </c>
      <c r="J20" s="43"/>
      <c r="K20" s="38">
        <v>0</v>
      </c>
      <c r="L20" s="37"/>
      <c r="M20" s="37"/>
    </row>
    <row r="21" spans="1:13" ht="18.75" customHeight="1">
      <c r="A21" s="205">
        <v>4</v>
      </c>
      <c r="B21" s="41" t="s">
        <v>78</v>
      </c>
      <c r="C21" s="207">
        <v>45350000000</v>
      </c>
      <c r="D21" s="43">
        <f>C21</f>
        <v>45350000000</v>
      </c>
      <c r="E21" s="207">
        <f>I21-83010563538</f>
        <v>12085803770</v>
      </c>
      <c r="F21" s="207">
        <f>E21*100%</f>
        <v>12085803770</v>
      </c>
      <c r="G21" s="37">
        <f t="shared" si="0"/>
        <v>0.266500634399118</v>
      </c>
      <c r="H21" s="37">
        <f t="shared" si="0"/>
        <v>0.266500634399118</v>
      </c>
      <c r="I21" s="207">
        <v>95096367308</v>
      </c>
      <c r="J21" s="207">
        <v>91248257650</v>
      </c>
      <c r="K21" s="37">
        <f>I21/C21*100%</f>
        <v>2.0969430497905184</v>
      </c>
      <c r="L21" s="37">
        <f>J21/D21*100%</f>
        <v>2.012089474090408</v>
      </c>
      <c r="M21" s="37">
        <f>I21/42577735989</f>
        <v>2.2334763720778446</v>
      </c>
    </row>
    <row r="22" spans="1:13" ht="20.25" customHeight="1">
      <c r="A22" s="205">
        <v>5</v>
      </c>
      <c r="B22" s="41" t="s">
        <v>79</v>
      </c>
      <c r="C22" s="207">
        <v>0</v>
      </c>
      <c r="D22" s="43"/>
      <c r="E22" s="207"/>
      <c r="F22" s="207"/>
      <c r="G22" s="37"/>
      <c r="H22" s="37"/>
      <c r="I22" s="207"/>
      <c r="J22" s="43"/>
      <c r="K22" s="37"/>
      <c r="L22" s="37"/>
      <c r="M22" s="37"/>
    </row>
    <row r="23" spans="1:13" ht="21" customHeight="1">
      <c r="A23" s="205">
        <v>6</v>
      </c>
      <c r="B23" s="41" t="s">
        <v>80</v>
      </c>
      <c r="C23" s="207">
        <v>450000000000</v>
      </c>
      <c r="D23" s="207">
        <f>C23*45%</f>
        <v>202500000000</v>
      </c>
      <c r="E23" s="207">
        <f>I23-392392812078</f>
        <v>106066421923</v>
      </c>
      <c r="F23" s="207">
        <f>E23*45%</f>
        <v>47729889865.35</v>
      </c>
      <c r="G23" s="37">
        <f t="shared" si="0"/>
        <v>0.2357031598288889</v>
      </c>
      <c r="H23" s="37">
        <f t="shared" si="0"/>
        <v>0.23570315982888887</v>
      </c>
      <c r="I23" s="207">
        <v>498459234001</v>
      </c>
      <c r="J23" s="207">
        <v>223679252621</v>
      </c>
      <c r="K23" s="37">
        <f>I23/C23*100%</f>
        <v>1.1076871866688889</v>
      </c>
      <c r="L23" s="37">
        <f>J23/D23*100%</f>
        <v>1.1045889018320987</v>
      </c>
      <c r="M23" s="37">
        <f>I23/416568795647</f>
        <v>1.1965832275718364</v>
      </c>
    </row>
    <row r="24" spans="1:13" ht="21" customHeight="1">
      <c r="A24" s="205">
        <v>7</v>
      </c>
      <c r="B24" s="41" t="s">
        <v>24</v>
      </c>
      <c r="C24" s="207">
        <v>14000000000</v>
      </c>
      <c r="D24" s="207">
        <f>C24*45%</f>
        <v>6300000000</v>
      </c>
      <c r="E24" s="207">
        <f>I24-9212631504</f>
        <v>1994585581</v>
      </c>
      <c r="F24" s="207">
        <f>E24*45%</f>
        <v>897563511.45</v>
      </c>
      <c r="G24" s="37">
        <f t="shared" si="0"/>
        <v>0.14247039864285715</v>
      </c>
      <c r="H24" s="37">
        <f t="shared" si="0"/>
        <v>0.14247039864285715</v>
      </c>
      <c r="I24" s="207">
        <v>11207217085</v>
      </c>
      <c r="J24" s="207">
        <v>2360401994</v>
      </c>
      <c r="K24" s="37">
        <f>I24/C24*100%</f>
        <v>0.8005155060714285</v>
      </c>
      <c r="L24" s="37">
        <f>J24/D24*100%</f>
        <v>0.3746669831746032</v>
      </c>
      <c r="M24" s="37">
        <f>I24/14565940042</f>
        <v>0.769412550970598</v>
      </c>
    </row>
    <row r="25" spans="1:13" ht="19.5" customHeight="1">
      <c r="A25" s="205">
        <v>8</v>
      </c>
      <c r="B25" s="41" t="s">
        <v>81</v>
      </c>
      <c r="C25" s="207">
        <v>65000000000</v>
      </c>
      <c r="D25" s="207">
        <f>D26</f>
        <v>55000000000</v>
      </c>
      <c r="E25" s="207">
        <f>I25-63866014802</f>
        <v>22358383136</v>
      </c>
      <c r="F25" s="207">
        <f>F26</f>
        <v>8120808870</v>
      </c>
      <c r="G25" s="37">
        <f t="shared" si="0"/>
        <v>0.3439751251692308</v>
      </c>
      <c r="H25" s="37">
        <f t="shared" si="0"/>
        <v>0.14765107036363637</v>
      </c>
      <c r="I25" s="207">
        <v>86224397938</v>
      </c>
      <c r="J25" s="207">
        <v>62102810667</v>
      </c>
      <c r="K25" s="37">
        <f>I25/C25*100%</f>
        <v>1.3265291990461539</v>
      </c>
      <c r="L25" s="37">
        <f>J25/D25*100%</f>
        <v>1.1291420121272728</v>
      </c>
      <c r="M25" s="37">
        <f>I25/76159521570</f>
        <v>1.1321551942622057</v>
      </c>
    </row>
    <row r="26" spans="1:13" ht="31.5">
      <c r="A26" s="35"/>
      <c r="B26" s="46" t="s">
        <v>82</v>
      </c>
      <c r="C26" s="43">
        <v>55000000000</v>
      </c>
      <c r="D26" s="43">
        <f>C26</f>
        <v>55000000000</v>
      </c>
      <c r="E26" s="43">
        <f>I26-53982001797</f>
        <v>8120808870</v>
      </c>
      <c r="F26" s="43">
        <f>E26</f>
        <v>8120808870</v>
      </c>
      <c r="G26" s="37">
        <f t="shared" si="0"/>
        <v>0.14765107036363637</v>
      </c>
      <c r="H26" s="37">
        <f t="shared" si="0"/>
        <v>0.14765107036363637</v>
      </c>
      <c r="I26" s="43">
        <v>62102810667</v>
      </c>
      <c r="J26" s="43">
        <v>62102810667</v>
      </c>
      <c r="K26" s="37">
        <f>I26/C26*100%</f>
        <v>1.1291420121272728</v>
      </c>
      <c r="L26" s="37">
        <f>J26/D26*100%</f>
        <v>1.1291420121272728</v>
      </c>
      <c r="M26" s="37">
        <f>I26/48059174807</f>
        <v>1.292215501335543</v>
      </c>
    </row>
    <row r="27" spans="1:13" ht="25.5" customHeight="1">
      <c r="A27" s="205">
        <v>9</v>
      </c>
      <c r="B27" s="41" t="s">
        <v>83</v>
      </c>
      <c r="C27" s="207">
        <v>590000000000</v>
      </c>
      <c r="D27" s="207">
        <f>C27*60%</f>
        <v>354000000000</v>
      </c>
      <c r="E27" s="207">
        <f>I27-698416356031</f>
        <v>163211229510</v>
      </c>
      <c r="F27" s="207">
        <f>E27*60%</f>
        <v>97926737706</v>
      </c>
      <c r="G27" s="37">
        <f t="shared" si="0"/>
        <v>0.27662920255932205</v>
      </c>
      <c r="H27" s="37">
        <f t="shared" si="0"/>
        <v>0.27662920255932205</v>
      </c>
      <c r="I27" s="207">
        <v>861627585541</v>
      </c>
      <c r="J27" s="207">
        <v>516976551348</v>
      </c>
      <c r="K27" s="37">
        <f>I27/C27*100%</f>
        <v>1.4603857382050847</v>
      </c>
      <c r="L27" s="37">
        <f>J27/D27*100%</f>
        <v>1.4603857382711865</v>
      </c>
      <c r="M27" s="37">
        <f>I27/1005606514630</f>
        <v>0.8568237904246522</v>
      </c>
    </row>
    <row r="28" spans="1:13" ht="15" hidden="1">
      <c r="A28" s="35"/>
      <c r="B28" s="46"/>
      <c r="C28" s="43"/>
      <c r="D28" s="43"/>
      <c r="E28" s="43"/>
      <c r="F28" s="43"/>
      <c r="G28" s="37"/>
      <c r="H28" s="37"/>
      <c r="I28" s="43"/>
      <c r="J28" s="43"/>
      <c r="K28" s="37"/>
      <c r="L28" s="37"/>
      <c r="M28" s="37"/>
    </row>
    <row r="29" spans="1:13" ht="19.5" customHeight="1">
      <c r="A29" s="205">
        <v>10</v>
      </c>
      <c r="B29" s="41" t="s">
        <v>84</v>
      </c>
      <c r="C29" s="207">
        <v>18000000000</v>
      </c>
      <c r="D29" s="207">
        <f>C29</f>
        <v>18000000000</v>
      </c>
      <c r="E29" s="207">
        <f>I29-9120648086</f>
        <v>2771200806</v>
      </c>
      <c r="F29" s="207">
        <f>E29*100%</f>
        <v>2771200806</v>
      </c>
      <c r="G29" s="37">
        <f t="shared" si="0"/>
        <v>0.15395560033333333</v>
      </c>
      <c r="H29" s="37">
        <f t="shared" si="0"/>
        <v>0.15395560033333333</v>
      </c>
      <c r="I29" s="207">
        <v>11891848892</v>
      </c>
      <c r="J29" s="207">
        <v>10979448892</v>
      </c>
      <c r="K29" s="37">
        <f>I29/C29*100%</f>
        <v>0.6606582717777778</v>
      </c>
      <c r="L29" s="37">
        <f>J29/D29*100%</f>
        <v>0.6099693828888889</v>
      </c>
      <c r="M29" s="37">
        <f>I29/14120228014</f>
        <v>0.8421853301667229</v>
      </c>
    </row>
    <row r="30" spans="1:13" ht="22.5" customHeight="1">
      <c r="A30" s="205">
        <v>11</v>
      </c>
      <c r="B30" s="41" t="s">
        <v>85</v>
      </c>
      <c r="C30" s="43">
        <v>0</v>
      </c>
      <c r="D30" s="43"/>
      <c r="E30" s="43"/>
      <c r="F30" s="43"/>
      <c r="G30" s="37"/>
      <c r="H30" s="37"/>
      <c r="I30" s="43"/>
      <c r="J30" s="43"/>
      <c r="K30" s="37"/>
      <c r="L30" s="37"/>
      <c r="M30" s="37"/>
    </row>
    <row r="31" spans="1:13" ht="15">
      <c r="A31" s="35"/>
      <c r="B31" s="46" t="s">
        <v>86</v>
      </c>
      <c r="C31" s="43">
        <v>0</v>
      </c>
      <c r="D31" s="43"/>
      <c r="E31" s="43"/>
      <c r="F31" s="43"/>
      <c r="G31" s="37"/>
      <c r="H31" s="37"/>
      <c r="I31" s="43"/>
      <c r="J31" s="43"/>
      <c r="K31" s="37"/>
      <c r="L31" s="37"/>
      <c r="M31" s="37"/>
    </row>
    <row r="32" spans="1:13" ht="30.75">
      <c r="A32" s="205">
        <v>12</v>
      </c>
      <c r="B32" s="41" t="s">
        <v>87</v>
      </c>
      <c r="C32" s="43">
        <v>0</v>
      </c>
      <c r="D32" s="43"/>
      <c r="E32" s="43"/>
      <c r="F32" s="43"/>
      <c r="G32" s="37"/>
      <c r="H32" s="37"/>
      <c r="I32" s="43"/>
      <c r="J32" s="43"/>
      <c r="K32" s="37"/>
      <c r="L32" s="37"/>
      <c r="M32" s="37"/>
    </row>
    <row r="33" spans="1:13" ht="15">
      <c r="A33" s="205">
        <v>13</v>
      </c>
      <c r="B33" s="41" t="s">
        <v>25</v>
      </c>
      <c r="C33" s="207">
        <v>80000000000</v>
      </c>
      <c r="D33" s="207">
        <f>D34</f>
        <v>51000000000</v>
      </c>
      <c r="E33" s="207">
        <f>I33-86133910154</f>
        <v>74647186134</v>
      </c>
      <c r="F33" s="207">
        <f>F34</f>
        <v>58751167303</v>
      </c>
      <c r="G33" s="37">
        <f t="shared" si="0"/>
        <v>0.933089826675</v>
      </c>
      <c r="H33" s="37">
        <f t="shared" si="0"/>
        <v>1.1519836726078432</v>
      </c>
      <c r="I33" s="207">
        <v>160781096288</v>
      </c>
      <c r="J33" s="207">
        <v>121643304228</v>
      </c>
      <c r="K33" s="37">
        <f>I33/C33*100%</f>
        <v>2.0097637036</v>
      </c>
      <c r="L33" s="37">
        <f>J33/D33*100%</f>
        <v>2.385162828</v>
      </c>
      <c r="M33" s="37">
        <f>I33/118477447188</f>
        <v>1.3570607748905374</v>
      </c>
    </row>
    <row r="34" spans="1:13" ht="15">
      <c r="A34" s="35"/>
      <c r="B34" s="46" t="s">
        <v>88</v>
      </c>
      <c r="C34" s="43">
        <v>51000000000</v>
      </c>
      <c r="D34" s="43">
        <f>C34</f>
        <v>51000000000</v>
      </c>
      <c r="E34" s="43">
        <f>I34-62892136925</f>
        <v>58751167303</v>
      </c>
      <c r="F34" s="43">
        <f>E34</f>
        <v>58751167303</v>
      </c>
      <c r="G34" s="37">
        <f t="shared" si="0"/>
        <v>1.1519836726078432</v>
      </c>
      <c r="H34" s="37">
        <f t="shared" si="0"/>
        <v>1.1519836726078432</v>
      </c>
      <c r="I34" s="43">
        <v>121643304228</v>
      </c>
      <c r="J34" s="43">
        <f>I34</f>
        <v>121643304228</v>
      </c>
      <c r="K34" s="37">
        <f>I34/C34*100%</f>
        <v>2.385162828</v>
      </c>
      <c r="L34" s="37">
        <f>J34/D34*100%</f>
        <v>2.385162828</v>
      </c>
      <c r="M34" s="37">
        <f>I34/88373177552</f>
        <v>1.3764731290376357</v>
      </c>
    </row>
    <row r="35" spans="1:13" ht="30.75">
      <c r="A35" s="205">
        <v>14</v>
      </c>
      <c r="B35" s="41" t="s">
        <v>89</v>
      </c>
      <c r="C35" s="207"/>
      <c r="D35" s="43"/>
      <c r="E35" s="207"/>
      <c r="F35" s="207"/>
      <c r="G35" s="37"/>
      <c r="H35" s="37"/>
      <c r="I35" s="207">
        <v>0</v>
      </c>
      <c r="J35" s="43">
        <v>0</v>
      </c>
      <c r="K35" s="37"/>
      <c r="L35" s="37"/>
      <c r="M35" s="37"/>
    </row>
    <row r="36" spans="1:13" ht="15">
      <c r="A36" s="205">
        <v>16</v>
      </c>
      <c r="B36" s="41" t="s">
        <v>90</v>
      </c>
      <c r="C36" s="207">
        <v>0</v>
      </c>
      <c r="D36" s="43"/>
      <c r="E36" s="207">
        <v>0</v>
      </c>
      <c r="F36" s="207"/>
      <c r="G36" s="37"/>
      <c r="H36" s="37"/>
      <c r="I36" s="207"/>
      <c r="J36" s="43"/>
      <c r="K36" s="37"/>
      <c r="L36" s="37"/>
      <c r="M36" s="37"/>
    </row>
    <row r="37" spans="1:13" ht="30.75">
      <c r="A37" s="205">
        <v>17</v>
      </c>
      <c r="B37" s="41" t="s">
        <v>91</v>
      </c>
      <c r="C37" s="43">
        <v>0</v>
      </c>
      <c r="D37" s="43"/>
      <c r="E37" s="43">
        <v>0</v>
      </c>
      <c r="F37" s="43"/>
      <c r="G37" s="37"/>
      <c r="H37" s="37"/>
      <c r="I37" s="43"/>
      <c r="J37" s="43"/>
      <c r="K37" s="37"/>
      <c r="L37" s="37"/>
      <c r="M37" s="37"/>
    </row>
    <row r="38" spans="1:13" ht="15">
      <c r="A38" s="205" t="s">
        <v>8</v>
      </c>
      <c r="B38" s="41" t="s">
        <v>92</v>
      </c>
      <c r="C38" s="43"/>
      <c r="D38" s="43"/>
      <c r="E38" s="43"/>
      <c r="F38" s="43"/>
      <c r="G38" s="37"/>
      <c r="H38" s="37"/>
      <c r="I38" s="43"/>
      <c r="J38" s="43"/>
      <c r="K38" s="37"/>
      <c r="L38" s="37"/>
      <c r="M38" s="37"/>
    </row>
    <row r="39" spans="1:13" ht="15.75" customHeight="1" hidden="1">
      <c r="A39" s="39" t="s">
        <v>9</v>
      </c>
      <c r="B39" s="40" t="s">
        <v>93</v>
      </c>
      <c r="C39" s="207">
        <f>SUM(C43:C46)</f>
        <v>953050</v>
      </c>
      <c r="D39" s="207">
        <f>SUM(D43:D46)</f>
        <v>461183.5</v>
      </c>
      <c r="E39" s="207">
        <f>SUM(E43:E46)</f>
        <v>243200</v>
      </c>
      <c r="F39" s="207">
        <f>SUM(F43:F46)</f>
        <v>116000</v>
      </c>
      <c r="G39" s="37">
        <f t="shared" si="0"/>
        <v>0.25518073553328785</v>
      </c>
      <c r="H39" s="37">
        <f t="shared" si="0"/>
        <v>0.2515267783864774</v>
      </c>
      <c r="I39" s="207">
        <f>SUM(I43:I46)</f>
        <v>867000</v>
      </c>
      <c r="J39" s="207">
        <f>SUM(J43:J46)</f>
        <v>411200</v>
      </c>
      <c r="K39" s="37">
        <f>I39/C39*100%</f>
        <v>0.9097109280730287</v>
      </c>
      <c r="L39" s="37">
        <f>J39/D39*100%</f>
        <v>0.8916190626941337</v>
      </c>
      <c r="M39" s="37"/>
    </row>
    <row r="40" spans="1:13" ht="15.75" customHeight="1" hidden="1">
      <c r="A40" s="35">
        <v>1</v>
      </c>
      <c r="B40" s="42" t="s">
        <v>94</v>
      </c>
      <c r="C40" s="43"/>
      <c r="D40" s="43"/>
      <c r="E40" s="43"/>
      <c r="F40" s="43"/>
      <c r="G40" s="37" t="e">
        <f t="shared" si="0"/>
        <v>#DIV/0!</v>
      </c>
      <c r="H40" s="37" t="e">
        <f t="shared" si="0"/>
        <v>#DIV/0!</v>
      </c>
      <c r="I40" s="43"/>
      <c r="J40" s="43">
        <f>I40*47%</f>
        <v>0</v>
      </c>
      <c r="K40" s="37" t="e">
        <f>I40/C40*100%</f>
        <v>#DIV/0!</v>
      </c>
      <c r="L40" s="37" t="e">
        <f>J40/D40*100%</f>
        <v>#DIV/0!</v>
      </c>
      <c r="M40" s="37"/>
    </row>
    <row r="41" spans="1:13" ht="15.75" customHeight="1" hidden="1">
      <c r="A41" s="35">
        <v>2</v>
      </c>
      <c r="B41" s="42" t="s">
        <v>95</v>
      </c>
      <c r="C41" s="43"/>
      <c r="D41" s="43"/>
      <c r="E41" s="43"/>
      <c r="F41" s="43"/>
      <c r="G41" s="37" t="e">
        <f t="shared" si="0"/>
        <v>#DIV/0!</v>
      </c>
      <c r="H41" s="37" t="e">
        <f t="shared" si="0"/>
        <v>#DIV/0!</v>
      </c>
      <c r="I41" s="43"/>
      <c r="J41" s="43">
        <f>I41*47%</f>
        <v>0</v>
      </c>
      <c r="K41" s="37" t="e">
        <f>I41/C41*100%</f>
        <v>#DIV/0!</v>
      </c>
      <c r="L41" s="37" t="e">
        <f>J41/D41*100%</f>
        <v>#DIV/0!</v>
      </c>
      <c r="M41" s="37"/>
    </row>
    <row r="42" spans="1:13" ht="15.75" customHeight="1" hidden="1">
      <c r="A42" s="35">
        <v>3</v>
      </c>
      <c r="B42" s="42" t="s">
        <v>96</v>
      </c>
      <c r="C42" s="43"/>
      <c r="D42" s="43"/>
      <c r="E42" s="43"/>
      <c r="F42" s="43"/>
      <c r="G42" s="37" t="e">
        <f t="shared" si="0"/>
        <v>#DIV/0!</v>
      </c>
      <c r="H42" s="37" t="e">
        <f t="shared" si="0"/>
        <v>#DIV/0!</v>
      </c>
      <c r="I42" s="43"/>
      <c r="J42" s="43">
        <f>I42*47%</f>
        <v>0</v>
      </c>
      <c r="K42" s="37" t="e">
        <f>I42/C42*100%</f>
        <v>#DIV/0!</v>
      </c>
      <c r="L42" s="37" t="e">
        <f>J42/D42*100%</f>
        <v>#DIV/0!</v>
      </c>
      <c r="M42" s="37"/>
    </row>
    <row r="43" spans="1:13" ht="15.75" customHeight="1" hidden="1">
      <c r="A43" s="35">
        <v>1</v>
      </c>
      <c r="B43" s="42" t="s">
        <v>97</v>
      </c>
      <c r="C43" s="43">
        <v>25000</v>
      </c>
      <c r="D43" s="43">
        <f>C43</f>
        <v>25000</v>
      </c>
      <c r="E43" s="43">
        <v>3200</v>
      </c>
      <c r="F43" s="43">
        <f>E43*100%</f>
        <v>3200</v>
      </c>
      <c r="G43" s="37">
        <f t="shared" si="0"/>
        <v>0.128</v>
      </c>
      <c r="H43" s="37">
        <f t="shared" si="0"/>
        <v>0.128</v>
      </c>
      <c r="I43" s="43">
        <v>7000</v>
      </c>
      <c r="J43" s="43">
        <v>7000</v>
      </c>
      <c r="K43" s="37">
        <f>I43/C43*100%</f>
        <v>0.28</v>
      </c>
      <c r="L43" s="37">
        <f>J43/D43*100%</f>
        <v>0.28</v>
      </c>
      <c r="M43" s="37"/>
    </row>
    <row r="44" spans="1:13" ht="15.75" customHeight="1" hidden="1">
      <c r="A44" s="35">
        <v>2</v>
      </c>
      <c r="B44" s="47" t="s">
        <v>98</v>
      </c>
      <c r="C44" s="43">
        <v>928050</v>
      </c>
      <c r="D44" s="43">
        <f>C44*47%</f>
        <v>436183.5</v>
      </c>
      <c r="E44" s="43">
        <v>240000</v>
      </c>
      <c r="F44" s="43">
        <f>E44*47%</f>
        <v>112800</v>
      </c>
      <c r="G44" s="37">
        <f t="shared" si="0"/>
        <v>0.25860675610150313</v>
      </c>
      <c r="H44" s="37">
        <f t="shared" si="0"/>
        <v>0.25860675610150313</v>
      </c>
      <c r="I44" s="43">
        <v>860000</v>
      </c>
      <c r="J44" s="43">
        <v>404200</v>
      </c>
      <c r="K44" s="37">
        <f>I44/C44*100%</f>
        <v>0.9266742093637196</v>
      </c>
      <c r="L44" s="37">
        <f>J44/D44*100%</f>
        <v>0.9266742093637196</v>
      </c>
      <c r="M44" s="37"/>
    </row>
    <row r="45" spans="1:13" ht="15.75" customHeight="1" hidden="1">
      <c r="A45" s="35">
        <v>3</v>
      </c>
      <c r="B45" s="47" t="s">
        <v>94</v>
      </c>
      <c r="C45" s="43"/>
      <c r="D45" s="43">
        <f>C45*47%</f>
        <v>0</v>
      </c>
      <c r="E45" s="43"/>
      <c r="F45" s="43"/>
      <c r="G45" s="37" t="e">
        <f t="shared" si="0"/>
        <v>#DIV/0!</v>
      </c>
      <c r="H45" s="37" t="e">
        <f t="shared" si="0"/>
        <v>#DIV/0!</v>
      </c>
      <c r="I45" s="43"/>
      <c r="J45" s="43"/>
      <c r="K45" s="37" t="e">
        <f>I45/C45*100%</f>
        <v>#DIV/0!</v>
      </c>
      <c r="L45" s="37" t="e">
        <f>J45/D45*100%</f>
        <v>#DIV/0!</v>
      </c>
      <c r="M45" s="37"/>
    </row>
    <row r="46" spans="1:13" ht="15">
      <c r="A46" s="35">
        <v>4</v>
      </c>
      <c r="B46" s="47" t="s">
        <v>96</v>
      </c>
      <c r="C46" s="43"/>
      <c r="D46" s="43">
        <f>C46*47%</f>
        <v>0</v>
      </c>
      <c r="E46" s="43"/>
      <c r="F46" s="43"/>
      <c r="G46" s="37"/>
      <c r="H46" s="37"/>
      <c r="I46" s="43"/>
      <c r="J46" s="43"/>
      <c r="K46" s="37"/>
      <c r="L46" s="37"/>
      <c r="M46" s="37"/>
    </row>
    <row r="47" spans="1:13" ht="15">
      <c r="A47" s="205" t="s">
        <v>9</v>
      </c>
      <c r="B47" s="41" t="s">
        <v>99</v>
      </c>
      <c r="C47" s="207">
        <f>C48+C49+C52</f>
        <v>1105648000000</v>
      </c>
      <c r="D47" s="207">
        <f>D48+D49+D52</f>
        <v>1105648000000</v>
      </c>
      <c r="E47" s="207">
        <f>E48+E49+E52</f>
        <v>665517000000</v>
      </c>
      <c r="F47" s="207">
        <f>F48+F49+F52</f>
        <v>665517000000</v>
      </c>
      <c r="G47" s="37">
        <f t="shared" si="0"/>
        <v>0.6019248440733398</v>
      </c>
      <c r="H47" s="37">
        <f t="shared" si="0"/>
        <v>0.6019248440733398</v>
      </c>
      <c r="I47" s="207">
        <f>I48+I49+I52</f>
        <v>1504600000000</v>
      </c>
      <c r="J47" s="207">
        <f>J48+J49+J52</f>
        <v>1504600000000</v>
      </c>
      <c r="K47" s="37">
        <f>I47/C47*100%</f>
        <v>1.3608309335339999</v>
      </c>
      <c r="L47" s="37">
        <f>J47/D47*100%</f>
        <v>1.3608309335339999</v>
      </c>
      <c r="M47" s="37"/>
    </row>
    <row r="48" spans="1:13" ht="15">
      <c r="A48" s="205"/>
      <c r="B48" s="47" t="s">
        <v>100</v>
      </c>
      <c r="C48" s="43">
        <v>799693000000</v>
      </c>
      <c r="D48" s="43">
        <f>C48</f>
        <v>799693000000</v>
      </c>
      <c r="E48" s="43">
        <f>I48-533128000000</f>
        <v>266565000000</v>
      </c>
      <c r="F48" s="43">
        <f>E48</f>
        <v>266565000000</v>
      </c>
      <c r="G48" s="37"/>
      <c r="H48" s="37"/>
      <c r="I48" s="43">
        <v>799693000000</v>
      </c>
      <c r="J48" s="43">
        <f>I48</f>
        <v>799693000000</v>
      </c>
      <c r="K48" s="37"/>
      <c r="L48" s="37"/>
      <c r="M48" s="37"/>
    </row>
    <row r="49" spans="1:13" ht="15">
      <c r="A49" s="35"/>
      <c r="B49" s="47" t="s">
        <v>101</v>
      </c>
      <c r="C49" s="43">
        <v>199229000000</v>
      </c>
      <c r="D49" s="43">
        <v>199229000000</v>
      </c>
      <c r="E49" s="207">
        <f>I49-199229000000</f>
        <v>398952000000</v>
      </c>
      <c r="F49" s="207">
        <f>E49</f>
        <v>398952000000</v>
      </c>
      <c r="G49" s="37"/>
      <c r="H49" s="37"/>
      <c r="I49" s="43">
        <v>598181000000</v>
      </c>
      <c r="J49" s="43">
        <v>598181000000</v>
      </c>
      <c r="K49" s="37"/>
      <c r="L49" s="37"/>
      <c r="M49" s="37"/>
    </row>
    <row r="50" spans="1:13" ht="15" hidden="1">
      <c r="A50" s="35"/>
      <c r="B50" s="47" t="s">
        <v>102</v>
      </c>
      <c r="C50" s="62">
        <v>199229000000</v>
      </c>
      <c r="D50" s="43">
        <v>199229000000</v>
      </c>
      <c r="E50" s="43"/>
      <c r="F50" s="43"/>
      <c r="G50" s="37"/>
      <c r="H50" s="37"/>
      <c r="I50" s="43"/>
      <c r="J50" s="43"/>
      <c r="K50" s="37"/>
      <c r="L50" s="37"/>
      <c r="M50" s="37"/>
    </row>
    <row r="51" spans="1:13" ht="15" hidden="1">
      <c r="A51" s="35"/>
      <c r="B51" s="47" t="s">
        <v>103</v>
      </c>
      <c r="C51" s="43"/>
      <c r="D51" s="43"/>
      <c r="E51" s="43"/>
      <c r="F51" s="43"/>
      <c r="G51" s="37"/>
      <c r="H51" s="37"/>
      <c r="I51" s="43"/>
      <c r="J51" s="43"/>
      <c r="K51" s="37"/>
      <c r="L51" s="37"/>
      <c r="M51" s="37"/>
    </row>
    <row r="52" spans="1:13" ht="15">
      <c r="A52" s="205"/>
      <c r="B52" s="47" t="s">
        <v>104</v>
      </c>
      <c r="C52" s="43">
        <v>106726000000</v>
      </c>
      <c r="D52" s="43">
        <f>C52</f>
        <v>106726000000</v>
      </c>
      <c r="E52" s="43">
        <f>I52-106726000000</f>
        <v>0</v>
      </c>
      <c r="F52" s="43">
        <f>E52</f>
        <v>0</v>
      </c>
      <c r="G52" s="37"/>
      <c r="H52" s="37"/>
      <c r="I52" s="43">
        <v>106726000000</v>
      </c>
      <c r="J52" s="43">
        <f>I52</f>
        <v>106726000000</v>
      </c>
      <c r="K52" s="48">
        <f>I52/C52*100%</f>
        <v>1</v>
      </c>
      <c r="L52" s="48">
        <f>J52/D52*100%</f>
        <v>1</v>
      </c>
      <c r="M52" s="48"/>
    </row>
    <row r="53" spans="1:13" ht="15">
      <c r="A53" s="205" t="s">
        <v>13</v>
      </c>
      <c r="B53" s="41" t="s">
        <v>105</v>
      </c>
      <c r="C53" s="207">
        <v>0</v>
      </c>
      <c r="D53" s="207">
        <f>D54</f>
        <v>26210000000</v>
      </c>
      <c r="E53" s="207">
        <v>0</v>
      </c>
      <c r="F53" s="207">
        <f>F54</f>
        <v>0</v>
      </c>
      <c r="G53" s="207"/>
      <c r="H53" s="207"/>
      <c r="I53" s="207"/>
      <c r="J53" s="207"/>
      <c r="K53" s="37"/>
      <c r="L53" s="37"/>
      <c r="M53" s="37"/>
    </row>
    <row r="54" spans="1:13" ht="15">
      <c r="A54" s="35"/>
      <c r="B54" s="47" t="s">
        <v>106</v>
      </c>
      <c r="C54" s="36">
        <v>0</v>
      </c>
      <c r="D54" s="36">
        <v>26210000000</v>
      </c>
      <c r="E54" s="206">
        <v>0</v>
      </c>
      <c r="F54" s="36">
        <v>0</v>
      </c>
      <c r="G54" s="36"/>
      <c r="H54" s="36"/>
      <c r="I54" s="36"/>
      <c r="J54" s="36"/>
      <c r="K54" s="49"/>
      <c r="L54" s="49"/>
      <c r="M54" s="49"/>
    </row>
    <row r="55" spans="1:13" ht="15">
      <c r="A55" s="35" t="s">
        <v>53</v>
      </c>
      <c r="B55" s="50" t="s">
        <v>26</v>
      </c>
      <c r="C55" s="36"/>
      <c r="D55" s="36"/>
      <c r="E55" s="206"/>
      <c r="F55" s="36"/>
      <c r="G55" s="36"/>
      <c r="H55" s="36"/>
      <c r="I55" s="36"/>
      <c r="J55" s="36"/>
      <c r="K55" s="49"/>
      <c r="L55" s="49"/>
      <c r="M55" s="49"/>
    </row>
    <row r="56" spans="1:13" ht="15">
      <c r="A56" s="51"/>
      <c r="B56" s="52"/>
      <c r="C56" s="53"/>
      <c r="D56" s="53"/>
      <c r="E56" s="54"/>
      <c r="F56" s="53"/>
      <c r="G56" s="53"/>
      <c r="H56" s="53"/>
      <c r="I56" s="53"/>
      <c r="J56" s="53"/>
      <c r="K56" s="55"/>
      <c r="L56" s="55"/>
      <c r="M56" s="55"/>
    </row>
    <row r="57" spans="1:13" ht="15">
      <c r="A57" s="51"/>
      <c r="B57" s="52"/>
      <c r="C57" s="53"/>
      <c r="D57" s="53"/>
      <c r="E57" s="54"/>
      <c r="F57" s="53"/>
      <c r="G57" s="53"/>
      <c r="H57" s="53"/>
      <c r="I57" s="53"/>
      <c r="J57" s="53"/>
      <c r="K57" s="55"/>
      <c r="L57" s="55"/>
      <c r="M57" s="55"/>
    </row>
    <row r="58" ht="15">
      <c r="A58" s="56" t="s">
        <v>119</v>
      </c>
    </row>
    <row r="59" ht="15">
      <c r="A59" s="56"/>
    </row>
    <row r="60" ht="15">
      <c r="A60" s="56"/>
    </row>
    <row r="61" ht="15">
      <c r="A61" s="56"/>
    </row>
    <row r="62" ht="15">
      <c r="A62" s="56"/>
    </row>
    <row r="63" ht="15">
      <c r="A63" s="56"/>
    </row>
    <row r="64" ht="15">
      <c r="A64" s="56"/>
    </row>
    <row r="65" ht="15">
      <c r="A65" s="56"/>
    </row>
    <row r="66" ht="15">
      <c r="A66" s="56"/>
    </row>
    <row r="67" ht="15">
      <c r="A67" s="56"/>
    </row>
    <row r="68" ht="15">
      <c r="A68" s="56"/>
    </row>
    <row r="69" ht="15">
      <c r="A69" s="56"/>
    </row>
    <row r="70" ht="15">
      <c r="A70" s="56"/>
    </row>
    <row r="71" ht="15">
      <c r="A71" s="56"/>
    </row>
    <row r="72" ht="15">
      <c r="A72" s="56"/>
    </row>
    <row r="73" ht="15">
      <c r="A73" s="56"/>
    </row>
    <row r="74" ht="15">
      <c r="A74" s="56"/>
    </row>
    <row r="75" ht="15">
      <c r="A75" s="56"/>
    </row>
    <row r="76" ht="15">
      <c r="A76" s="56"/>
    </row>
    <row r="77" ht="15">
      <c r="A77" s="56"/>
    </row>
    <row r="78" ht="15">
      <c r="A78" s="56"/>
    </row>
    <row r="79" ht="15">
      <c r="A79" s="56"/>
    </row>
    <row r="80" ht="15">
      <c r="A80" s="56"/>
    </row>
    <row r="81" ht="15">
      <c r="A81" s="56"/>
    </row>
    <row r="82" ht="15">
      <c r="A82" s="56"/>
    </row>
    <row r="83" ht="15">
      <c r="A83" s="56"/>
    </row>
    <row r="84" spans="1:13" ht="140.25">
      <c r="A84" s="56"/>
      <c r="C84" s="57">
        <v>1</v>
      </c>
      <c r="D84" s="58" t="s">
        <v>107</v>
      </c>
      <c r="E84" s="208" t="s">
        <v>108</v>
      </c>
      <c r="I84" s="208" t="s">
        <v>109</v>
      </c>
      <c r="J84" s="208" t="s">
        <v>110</v>
      </c>
      <c r="K84" s="208" t="s">
        <v>111</v>
      </c>
      <c r="L84" s="208"/>
      <c r="M84" s="208"/>
    </row>
    <row r="85" spans="1:13" ht="15">
      <c r="A85" s="33" t="s">
        <v>112</v>
      </c>
      <c r="C85" s="58">
        <f>SUM(C91:C97)</f>
        <v>622400</v>
      </c>
      <c r="D85" s="58">
        <f>SUM(D91:D95)</f>
        <v>762340</v>
      </c>
      <c r="E85" s="58">
        <v>693533</v>
      </c>
      <c r="I85" s="34">
        <v>116079</v>
      </c>
      <c r="J85" s="34">
        <v>328200</v>
      </c>
      <c r="K85" s="59" t="e">
        <f>#REF!+E85</f>
        <v>#REF!</v>
      </c>
      <c r="L85" s="59"/>
      <c r="M85" s="59"/>
    </row>
    <row r="86" spans="1:10" ht="15">
      <c r="A86" s="274"/>
      <c r="E86" s="275" t="s">
        <v>113</v>
      </c>
      <c r="F86" s="275"/>
      <c r="G86" s="275"/>
      <c r="H86" s="275"/>
      <c r="I86" s="275"/>
      <c r="J86" s="275"/>
    </row>
    <row r="87" spans="1:10" ht="15">
      <c r="A87" s="274"/>
      <c r="E87" s="276" t="s">
        <v>114</v>
      </c>
      <c r="F87" s="276"/>
      <c r="G87" s="276"/>
      <c r="H87" s="276"/>
      <c r="I87" s="276"/>
      <c r="J87" s="276"/>
    </row>
    <row r="88" spans="1:10" ht="15">
      <c r="A88" s="274"/>
      <c r="E88" s="276" t="s">
        <v>115</v>
      </c>
      <c r="F88" s="276"/>
      <c r="G88" s="276"/>
      <c r="H88" s="276"/>
      <c r="I88" s="276"/>
      <c r="J88" s="276"/>
    </row>
    <row r="89" spans="1:10" ht="15">
      <c r="A89" s="274"/>
      <c r="E89" s="275" t="s">
        <v>116</v>
      </c>
      <c r="F89" s="275"/>
      <c r="G89" s="275"/>
      <c r="H89" s="275"/>
      <c r="I89" s="275"/>
      <c r="J89" s="275"/>
    </row>
    <row r="91" spans="3:4" ht="15">
      <c r="C91" s="34">
        <v>10000</v>
      </c>
      <c r="D91" s="34">
        <v>495850</v>
      </c>
    </row>
    <row r="92" spans="3:4" ht="15">
      <c r="C92" s="34">
        <v>440000</v>
      </c>
      <c r="D92" s="34">
        <v>108100</v>
      </c>
    </row>
    <row r="93" spans="3:4" ht="15">
      <c r="C93" s="34">
        <v>60000</v>
      </c>
      <c r="D93" s="34">
        <v>2350</v>
      </c>
    </row>
    <row r="94" spans="3:10" ht="15">
      <c r="C94" s="34">
        <v>41400</v>
      </c>
      <c r="D94" s="34">
        <v>150400</v>
      </c>
      <c r="J94" s="34" t="e">
        <f>K85-1580270</f>
        <v>#REF!</v>
      </c>
    </row>
    <row r="95" spans="3:4" ht="15">
      <c r="C95" s="34">
        <v>15000</v>
      </c>
      <c r="D95" s="34">
        <v>5640</v>
      </c>
    </row>
    <row r="96" ht="15">
      <c r="C96" s="34">
        <v>5000</v>
      </c>
    </row>
    <row r="97" ht="15">
      <c r="C97" s="34">
        <v>51000</v>
      </c>
    </row>
  </sheetData>
  <sheetProtection/>
  <mergeCells count="22">
    <mergeCell ref="A4:K4"/>
    <mergeCell ref="A1:B1"/>
    <mergeCell ref="C1:K1"/>
    <mergeCell ref="A2:B2"/>
    <mergeCell ref="C2:K2"/>
    <mergeCell ref="A3:B3"/>
    <mergeCell ref="A5:J5"/>
    <mergeCell ref="A7:A8"/>
    <mergeCell ref="B7:B8"/>
    <mergeCell ref="C7:D7"/>
    <mergeCell ref="E7:F7"/>
    <mergeCell ref="G7:G8"/>
    <mergeCell ref="H7:H8"/>
    <mergeCell ref="I7:J7"/>
    <mergeCell ref="K7:K8"/>
    <mergeCell ref="L7:L8"/>
    <mergeCell ref="M7:M8"/>
    <mergeCell ref="A86:A89"/>
    <mergeCell ref="E86:J86"/>
    <mergeCell ref="E87:J87"/>
    <mergeCell ref="E88:J88"/>
    <mergeCell ref="E89:J89"/>
  </mergeCells>
  <printOptions/>
  <pageMargins left="0.7" right="0.7" top="0.75" bottom="0.75" header="0.3" footer="0.3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71"/>
  <sheetViews>
    <sheetView zoomScalePageLayoutView="0" workbookViewId="0" topLeftCell="A8">
      <pane xSplit="2" ySplit="4" topLeftCell="C40" activePane="bottomRight" state="frozen"/>
      <selection pane="topLeft" activeCell="A8" sqref="A8"/>
      <selection pane="topRight" activeCell="C8" sqref="C8"/>
      <selection pane="bottomLeft" activeCell="A12" sqref="A12"/>
      <selection pane="bottomRight" activeCell="P23" sqref="P23"/>
    </sheetView>
  </sheetViews>
  <sheetFormatPr defaultColWidth="9.00390625" defaultRowHeight="15.75"/>
  <cols>
    <col min="1" max="1" width="5.875" style="0" customWidth="1"/>
    <col min="2" max="2" width="34.75390625" style="0" customWidth="1"/>
    <col min="3" max="3" width="19.00390625" style="6" customWidth="1"/>
    <col min="4" max="4" width="16.625" style="0" customWidth="1"/>
    <col min="5" max="5" width="18.00390625" style="0" customWidth="1"/>
    <col min="6" max="6" width="8.625" style="0" customWidth="1"/>
    <col min="7" max="7" width="15.375" style="0" hidden="1" customWidth="1"/>
    <col min="8" max="8" width="16.75390625" style="0" customWidth="1"/>
    <col min="9" max="9" width="7.50390625" style="0" hidden="1" customWidth="1"/>
    <col min="10" max="10" width="9.00390625" style="0" customWidth="1"/>
    <col min="11" max="11" width="8.75390625" style="0" customWidth="1"/>
    <col min="12" max="12" width="7.75390625" style="0" customWidth="1"/>
    <col min="13" max="13" width="18.25390625" style="0" hidden="1" customWidth="1"/>
    <col min="14" max="14" width="16.75390625" style="0" hidden="1" customWidth="1"/>
  </cols>
  <sheetData>
    <row r="1" spans="1:10" ht="21.75" customHeight="1">
      <c r="A1" s="297" t="s">
        <v>35</v>
      </c>
      <c r="B1" s="297"/>
      <c r="C1" s="63"/>
      <c r="D1" s="261" t="s">
        <v>15</v>
      </c>
      <c r="E1" s="261"/>
      <c r="F1" s="261"/>
      <c r="G1" s="261"/>
      <c r="H1" s="261"/>
      <c r="I1" s="261"/>
      <c r="J1" s="261"/>
    </row>
    <row r="2" spans="1:10" ht="17.25" customHeight="1">
      <c r="A2" s="298" t="s">
        <v>36</v>
      </c>
      <c r="B2" s="298"/>
      <c r="C2" s="64"/>
      <c r="D2" s="261" t="s">
        <v>16</v>
      </c>
      <c r="E2" s="261"/>
      <c r="F2" s="261"/>
      <c r="G2" s="261"/>
      <c r="H2" s="261"/>
      <c r="I2" s="261"/>
      <c r="J2" s="261"/>
    </row>
    <row r="3" spans="1:9" ht="17.25" customHeight="1">
      <c r="A3" s="174"/>
      <c r="B3" s="174"/>
      <c r="C3" s="64"/>
      <c r="H3" s="185" t="s">
        <v>29</v>
      </c>
      <c r="I3" s="185"/>
    </row>
    <row r="5" spans="2:10" ht="20.25">
      <c r="B5" s="259" t="s">
        <v>30</v>
      </c>
      <c r="C5" s="259"/>
      <c r="D5" s="259"/>
      <c r="E5" s="259"/>
      <c r="F5" s="259"/>
      <c r="G5" s="259"/>
      <c r="H5" s="259"/>
      <c r="I5" s="259"/>
      <c r="J5" s="259"/>
    </row>
    <row r="6" spans="1:10" ht="29.25" customHeight="1">
      <c r="A6" s="173"/>
      <c r="B6" s="259" t="s">
        <v>178</v>
      </c>
      <c r="C6" s="259"/>
      <c r="D6" s="259"/>
      <c r="E6" s="259"/>
      <c r="F6" s="259"/>
      <c r="G6" s="259"/>
      <c r="H6" s="259"/>
      <c r="I6" s="259"/>
      <c r="J6" s="259"/>
    </row>
    <row r="7" spans="1:12" ht="19.5" customHeight="1">
      <c r="A7" s="173"/>
      <c r="B7" s="32"/>
      <c r="C7" s="32"/>
      <c r="D7" s="32"/>
      <c r="E7" s="32"/>
      <c r="F7" s="178"/>
      <c r="G7" s="32"/>
      <c r="H7" s="32"/>
      <c r="I7" s="32"/>
      <c r="J7" s="32"/>
      <c r="K7" s="32"/>
      <c r="L7" s="32"/>
    </row>
    <row r="8" spans="1:12" ht="21" customHeight="1">
      <c r="A8" s="173"/>
      <c r="B8" s="173"/>
      <c r="C8" s="173"/>
      <c r="D8" s="173"/>
      <c r="E8" s="173"/>
      <c r="F8" s="2"/>
      <c r="G8" s="173"/>
      <c r="H8" s="292" t="s">
        <v>172</v>
      </c>
      <c r="I8" s="292"/>
      <c r="J8" s="173"/>
      <c r="K8" s="173"/>
      <c r="L8" s="173"/>
    </row>
    <row r="9" spans="2:10" ht="15.75" customHeight="1" hidden="1">
      <c r="B9" s="65"/>
      <c r="D9" s="65">
        <f>G9-519071342027</f>
        <v>-2296166805015</v>
      </c>
      <c r="E9" s="65"/>
      <c r="F9" s="65"/>
      <c r="G9" s="65">
        <f>2644896513468-H12</f>
        <v>-1777095462988</v>
      </c>
      <c r="H9" s="299"/>
      <c r="I9" s="299"/>
      <c r="J9" s="299"/>
    </row>
    <row r="10" spans="1:13" ht="15.75" customHeight="1">
      <c r="A10" s="295" t="s">
        <v>0</v>
      </c>
      <c r="B10" s="295" t="s">
        <v>121</v>
      </c>
      <c r="C10" s="293" t="s">
        <v>188</v>
      </c>
      <c r="D10" s="293" t="s">
        <v>177</v>
      </c>
      <c r="E10" s="290" t="s">
        <v>186</v>
      </c>
      <c r="F10" s="293" t="s">
        <v>124</v>
      </c>
      <c r="G10" s="293" t="s">
        <v>122</v>
      </c>
      <c r="H10" s="293" t="s">
        <v>187</v>
      </c>
      <c r="I10" s="293" t="s">
        <v>123</v>
      </c>
      <c r="J10" s="293" t="s">
        <v>124</v>
      </c>
      <c r="K10" s="285" t="s">
        <v>174</v>
      </c>
      <c r="L10" s="189"/>
      <c r="M10" s="6"/>
    </row>
    <row r="11" spans="1:13" ht="68.25" customHeight="1">
      <c r="A11" s="296"/>
      <c r="B11" s="296"/>
      <c r="C11" s="294"/>
      <c r="D11" s="294"/>
      <c r="E11" s="291" t="s">
        <v>12</v>
      </c>
      <c r="F11" s="294"/>
      <c r="G11" s="294"/>
      <c r="H11" s="294"/>
      <c r="I11" s="294"/>
      <c r="J11" s="294"/>
      <c r="K11" s="286"/>
      <c r="L11" s="189"/>
      <c r="M11" s="6" t="s">
        <v>175</v>
      </c>
    </row>
    <row r="12" spans="1:13" ht="27">
      <c r="A12" s="66"/>
      <c r="B12" s="67" t="s">
        <v>125</v>
      </c>
      <c r="C12" s="155">
        <f>C13+C50</f>
        <v>3055046000000</v>
      </c>
      <c r="D12" s="155">
        <f>D13+D50+D54+D55+D58+D63</f>
        <v>4390556000000</v>
      </c>
      <c r="E12" s="155">
        <f>E13+E50+E54+E55+E58+E63</f>
        <v>1335790438895</v>
      </c>
      <c r="F12" s="70">
        <f>E12/D12*100%</f>
        <v>0.30424174954037714</v>
      </c>
      <c r="G12" s="68">
        <f>G13+G50+G54+G55+G58+G63</f>
        <v>217734884801</v>
      </c>
      <c r="H12" s="68">
        <f>H13+H50+H54+H55+H58+H63</f>
        <v>4421991976456</v>
      </c>
      <c r="I12" s="69">
        <f>H12/C12*100%</f>
        <v>1.4474387542629472</v>
      </c>
      <c r="J12" s="70">
        <f aca="true" t="shared" si="0" ref="J12:J19">H12/D12*100%</f>
        <v>1.0071599078695272</v>
      </c>
      <c r="K12" s="71">
        <f>H12/5441009308590</f>
        <v>0.8127153852640492</v>
      </c>
      <c r="L12" s="190"/>
      <c r="M12" s="187"/>
    </row>
    <row r="13" spans="1:13" s="76" customFormat="1" ht="29.25" customHeight="1">
      <c r="A13" s="72" t="s">
        <v>1</v>
      </c>
      <c r="B13" s="73" t="s">
        <v>126</v>
      </c>
      <c r="C13" s="75">
        <f>C14+C20+C55+C58</f>
        <v>2833279000000</v>
      </c>
      <c r="D13" s="75">
        <f>D14+D20+D47+D49+D48</f>
        <v>4333656000000</v>
      </c>
      <c r="E13" s="75">
        <f>E14+E20+E47+E49+E48</f>
        <v>1271302173110</v>
      </c>
      <c r="F13" s="74">
        <f aca="true" t="shared" si="1" ref="F13:F46">E13/D13*100%</f>
        <v>0.29335558085597935</v>
      </c>
      <c r="G13" s="75">
        <f>G14+G20+G47+G49+G48</f>
        <v>186079644801</v>
      </c>
      <c r="H13" s="75">
        <f>H14+H20+H47+H49+H48</f>
        <v>3564068713928</v>
      </c>
      <c r="I13" s="74">
        <f>H13/C13*100%</f>
        <v>1.2579307275873644</v>
      </c>
      <c r="J13" s="74">
        <f t="shared" si="0"/>
        <v>0.8224161571495292</v>
      </c>
      <c r="K13" s="84">
        <f>H13/3791617190557</f>
        <v>0.9399864318592847</v>
      </c>
      <c r="L13" s="191"/>
      <c r="M13" s="188">
        <v>1454400767307</v>
      </c>
    </row>
    <row r="14" spans="1:14" ht="17.25" customHeight="1">
      <c r="A14" s="77" t="s">
        <v>5</v>
      </c>
      <c r="B14" s="77" t="s">
        <v>127</v>
      </c>
      <c r="C14" s="209">
        <f>SUM(C16:C18)</f>
        <v>610031000000</v>
      </c>
      <c r="D14" s="78">
        <f>SUM(D16:D19)</f>
        <v>1103382000000</v>
      </c>
      <c r="E14" s="78">
        <f>SUM(E16:E19)</f>
        <v>635172000000</v>
      </c>
      <c r="F14" s="81">
        <f t="shared" si="1"/>
        <v>0.5756592005307318</v>
      </c>
      <c r="G14" s="79">
        <f>G15</f>
        <v>40888218023</v>
      </c>
      <c r="H14" s="79">
        <f>SUM(H16:H19)</f>
        <v>1103382000000</v>
      </c>
      <c r="I14" s="80">
        <f>H14/D14*100%</f>
        <v>1</v>
      </c>
      <c r="J14" s="81">
        <f t="shared" si="0"/>
        <v>1</v>
      </c>
      <c r="K14" s="84">
        <f>H14/1088251000000</f>
        <v>1.0139039614941774</v>
      </c>
      <c r="L14" s="192"/>
      <c r="M14" s="187">
        <v>1393171011269</v>
      </c>
      <c r="N14" s="186"/>
    </row>
    <row r="15" spans="1:14" ht="15.75" customHeight="1" hidden="1">
      <c r="A15" s="82">
        <v>1</v>
      </c>
      <c r="B15" s="77" t="s">
        <v>128</v>
      </c>
      <c r="C15" s="209">
        <v>619749000000</v>
      </c>
      <c r="D15" s="78">
        <f>SUM(D16:D18)</f>
        <v>853382000000</v>
      </c>
      <c r="E15" s="78">
        <f>SUM(E16:E18)</f>
        <v>385172000000</v>
      </c>
      <c r="F15" s="84">
        <f t="shared" si="1"/>
        <v>0.4513476965766796</v>
      </c>
      <c r="G15" s="79">
        <f>SUM(G16:G18)</f>
        <v>40888218023</v>
      </c>
      <c r="H15" s="79">
        <f>SUM(H16:H18)</f>
        <v>853382000000</v>
      </c>
      <c r="I15" s="83">
        <f>H15/C15*100%</f>
        <v>1.376980035465971</v>
      </c>
      <c r="J15" s="84">
        <f t="shared" si="0"/>
        <v>1</v>
      </c>
      <c r="K15" s="84">
        <f>I15/E15*100%</f>
        <v>3.5749743892753652E-12</v>
      </c>
      <c r="L15" s="193"/>
      <c r="M15" s="6">
        <v>288492065410</v>
      </c>
      <c r="N15" s="6"/>
    </row>
    <row r="16" spans="1:14" ht="15">
      <c r="A16" s="82"/>
      <c r="B16" s="85" t="s">
        <v>129</v>
      </c>
      <c r="C16" s="86">
        <v>149305000000</v>
      </c>
      <c r="D16" s="86">
        <v>149305000000</v>
      </c>
      <c r="E16" s="86">
        <f>H16-123093000000</f>
        <v>26212000000</v>
      </c>
      <c r="F16" s="84">
        <f t="shared" si="1"/>
        <v>0.17556009510733064</v>
      </c>
      <c r="G16" s="87">
        <f>110515370322-96770872322</f>
        <v>13744498000</v>
      </c>
      <c r="H16" s="87">
        <v>149305000000</v>
      </c>
      <c r="I16" s="88">
        <f>H16/C16*100%</f>
        <v>1</v>
      </c>
      <c r="J16" s="84">
        <f t="shared" si="0"/>
        <v>1</v>
      </c>
      <c r="K16" s="84">
        <f>H16/218491000000</f>
        <v>0.683346224787291</v>
      </c>
      <c r="L16" s="193"/>
      <c r="M16" s="6">
        <v>288492065410</v>
      </c>
      <c r="N16" s="6">
        <v>110515370322</v>
      </c>
    </row>
    <row r="17" spans="1:14" ht="15">
      <c r="A17" s="82"/>
      <c r="B17" s="85" t="s">
        <v>130</v>
      </c>
      <c r="C17" s="86">
        <v>354000000000</v>
      </c>
      <c r="D17" s="86">
        <v>572134000000</v>
      </c>
      <c r="E17" s="86">
        <f>H17-286139000000</f>
        <v>285995000000</v>
      </c>
      <c r="F17" s="84">
        <f t="shared" si="1"/>
        <v>0.499874155355214</v>
      </c>
      <c r="G17" s="87">
        <f>155371111277-136011116254</f>
        <v>19359995023</v>
      </c>
      <c r="H17" s="87">
        <v>572134000000</v>
      </c>
      <c r="I17" s="88">
        <f>H17/C17*100%</f>
        <v>1.6161977401129943</v>
      </c>
      <c r="J17" s="84">
        <f t="shared" si="0"/>
        <v>1</v>
      </c>
      <c r="K17" s="84">
        <f>H17/742554000000</f>
        <v>0.770494805764968</v>
      </c>
      <c r="L17" s="193"/>
      <c r="M17" s="6">
        <v>2310403000</v>
      </c>
      <c r="N17" s="6">
        <v>155371111277</v>
      </c>
    </row>
    <row r="18" spans="1:14" ht="15">
      <c r="A18" s="82"/>
      <c r="B18" s="85" t="s">
        <v>131</v>
      </c>
      <c r="C18" s="86">
        <v>106726000000</v>
      </c>
      <c r="D18" s="86">
        <v>131943000000</v>
      </c>
      <c r="E18" s="86">
        <f>H18-58978000000</f>
        <v>72965000000</v>
      </c>
      <c r="F18" s="88">
        <f t="shared" si="1"/>
        <v>0.5530039486748065</v>
      </c>
      <c r="G18" s="87">
        <f>39812947167-32029222167</f>
        <v>7783725000</v>
      </c>
      <c r="H18" s="87">
        <v>131943000000</v>
      </c>
      <c r="I18" s="88">
        <f>H18/C18*100%</f>
        <v>1.2362779453928752</v>
      </c>
      <c r="J18" s="88">
        <f t="shared" si="0"/>
        <v>1</v>
      </c>
      <c r="K18" s="88">
        <f>H18/127206000000</f>
        <v>1.0372388094901184</v>
      </c>
      <c r="L18" s="193"/>
      <c r="M18" s="6">
        <v>256955000000</v>
      </c>
      <c r="N18" s="6">
        <v>39812947167</v>
      </c>
    </row>
    <row r="19" spans="1:14" ht="15.75" customHeight="1">
      <c r="A19" s="82"/>
      <c r="B19" s="90"/>
      <c r="C19" s="210"/>
      <c r="D19" s="91">
        <v>250000000000</v>
      </c>
      <c r="E19" s="86">
        <f>H19-0</f>
        <v>250000000000</v>
      </c>
      <c r="F19" s="84">
        <v>0</v>
      </c>
      <c r="G19" s="92"/>
      <c r="H19" s="87">
        <v>250000000000</v>
      </c>
      <c r="I19" s="93"/>
      <c r="J19" s="84">
        <f t="shared" si="0"/>
        <v>1</v>
      </c>
      <c r="K19" s="88">
        <v>0</v>
      </c>
      <c r="L19" s="193"/>
      <c r="M19" s="6">
        <v>29226662410</v>
      </c>
      <c r="N19" s="6"/>
    </row>
    <row r="20" spans="1:14" ht="15">
      <c r="A20" s="94" t="s">
        <v>8</v>
      </c>
      <c r="B20" s="94" t="s">
        <v>132</v>
      </c>
      <c r="C20" s="211">
        <v>2166348000000</v>
      </c>
      <c r="D20" s="96">
        <f>D21+D34</f>
        <v>3149515000000</v>
      </c>
      <c r="E20" s="96">
        <f>E21+E34</f>
        <v>633634328110</v>
      </c>
      <c r="F20" s="71">
        <f t="shared" si="1"/>
        <v>0.20118473101731538</v>
      </c>
      <c r="G20" s="75">
        <f>G21+G34</f>
        <v>145191426778</v>
      </c>
      <c r="H20" s="75">
        <f>H21+H34</f>
        <v>2446928208928</v>
      </c>
      <c r="I20" s="83">
        <f>H20/C20*100%</f>
        <v>1.1295176070178936</v>
      </c>
      <c r="J20" s="71">
        <f aca="true" t="shared" si="2" ref="J20:J34">H20/D20*100%</f>
        <v>0.7769222273677058</v>
      </c>
      <c r="K20" s="71">
        <f>H20/2438707707569</f>
        <v>1.0033708432271264</v>
      </c>
      <c r="L20" s="194"/>
      <c r="M20" s="187">
        <v>797613538111</v>
      </c>
      <c r="N20" s="186"/>
    </row>
    <row r="21" spans="1:14" ht="15">
      <c r="A21" s="94" t="s">
        <v>133</v>
      </c>
      <c r="B21" s="94" t="s">
        <v>134</v>
      </c>
      <c r="C21" s="211"/>
      <c r="D21" s="96">
        <f>SUM(D22:D33)</f>
        <v>2549592000000</v>
      </c>
      <c r="E21" s="96">
        <f>SUM(E22:E33)</f>
        <v>540764315975</v>
      </c>
      <c r="F21" s="71">
        <f t="shared" si="1"/>
        <v>0.21209837337699522</v>
      </c>
      <c r="G21" s="75">
        <f>SUM(G22:G33)</f>
        <v>121024153261</v>
      </c>
      <c r="H21" s="75">
        <f>SUM(H22:H33)</f>
        <v>1907612313839</v>
      </c>
      <c r="I21" s="83">
        <f>H21/D21*100%</f>
        <v>0.7482029728046684</v>
      </c>
      <c r="J21" s="71">
        <f t="shared" si="2"/>
        <v>0.7482029728046684</v>
      </c>
      <c r="K21" s="71">
        <f>H21/1756202664756</f>
        <v>1.0862142235184664</v>
      </c>
      <c r="L21" s="194"/>
      <c r="M21" s="187">
        <v>666835457978</v>
      </c>
      <c r="N21" s="6"/>
    </row>
    <row r="22" spans="1:14" ht="15">
      <c r="A22" s="98">
        <v>1</v>
      </c>
      <c r="B22" s="99" t="s">
        <v>135</v>
      </c>
      <c r="C22" s="212"/>
      <c r="D22" s="213">
        <v>8736000000</v>
      </c>
      <c r="E22" s="100">
        <f>H22-4639723995</f>
        <v>1168506005</v>
      </c>
      <c r="F22" s="101">
        <f t="shared" si="1"/>
        <v>0.13375755551739926</v>
      </c>
      <c r="G22" s="100">
        <v>235952000</v>
      </c>
      <c r="H22" s="100">
        <v>5808230000</v>
      </c>
      <c r="I22" s="101"/>
      <c r="J22" s="101">
        <f t="shared" si="2"/>
        <v>0.6648614926739926</v>
      </c>
      <c r="K22" s="101">
        <f>H22/6493967580</f>
        <v>0.8944039107752983</v>
      </c>
      <c r="L22" s="195"/>
      <c r="M22" s="6">
        <v>2637034482</v>
      </c>
      <c r="N22" s="6">
        <v>3889946980</v>
      </c>
    </row>
    <row r="23" spans="1:14" ht="15">
      <c r="A23" s="98">
        <v>2</v>
      </c>
      <c r="B23" s="103" t="s">
        <v>31</v>
      </c>
      <c r="C23" s="214"/>
      <c r="D23" s="215">
        <v>16729000000</v>
      </c>
      <c r="E23" s="104">
        <f>H23-12824550002</f>
        <v>3076981043</v>
      </c>
      <c r="F23" s="105">
        <f t="shared" si="1"/>
        <v>0.1839309607866579</v>
      </c>
      <c r="G23" s="104">
        <v>1829645374</v>
      </c>
      <c r="H23" s="104">
        <v>15901531045</v>
      </c>
      <c r="I23" s="105"/>
      <c r="J23" s="105">
        <f t="shared" si="2"/>
        <v>0.950536854862813</v>
      </c>
      <c r="K23" s="105">
        <f>H23/16637657773</f>
        <v>0.9557553870837153</v>
      </c>
      <c r="L23" s="195"/>
      <c r="M23" s="6">
        <v>6150546035</v>
      </c>
      <c r="N23" s="6">
        <v>6839135948</v>
      </c>
    </row>
    <row r="24" spans="1:14" ht="18" customHeight="1">
      <c r="A24" s="98">
        <v>3</v>
      </c>
      <c r="B24" s="106" t="s">
        <v>136</v>
      </c>
      <c r="C24" s="216">
        <v>922229000000</v>
      </c>
      <c r="D24" s="215">
        <v>1094653000000</v>
      </c>
      <c r="E24" s="107">
        <f>H24-628622166245</f>
        <v>268291960014</v>
      </c>
      <c r="F24" s="105">
        <f t="shared" si="1"/>
        <v>0.24509315738777493</v>
      </c>
      <c r="G24" s="107">
        <v>68509916085</v>
      </c>
      <c r="H24" s="107">
        <v>896914126259</v>
      </c>
      <c r="I24" s="105">
        <f>H24/C24*100%</f>
        <v>0.9725503386458244</v>
      </c>
      <c r="J24" s="105">
        <f t="shared" si="2"/>
        <v>0.8193593095337062</v>
      </c>
      <c r="K24" s="105">
        <f>H24/810697634997</f>
        <v>1.1063485170550904</v>
      </c>
      <c r="L24" s="195"/>
      <c r="M24" s="6">
        <v>401933871330</v>
      </c>
      <c r="N24" s="6">
        <v>416839281271</v>
      </c>
    </row>
    <row r="25" spans="1:14" ht="15">
      <c r="A25" s="98">
        <v>4</v>
      </c>
      <c r="B25" s="106" t="s">
        <v>137</v>
      </c>
      <c r="C25" s="216"/>
      <c r="D25" s="215">
        <v>81601000000</v>
      </c>
      <c r="E25" s="107">
        <f>H25-80221910001</f>
        <v>45501632701</v>
      </c>
      <c r="F25" s="105">
        <f t="shared" si="1"/>
        <v>0.5576112143356087</v>
      </c>
      <c r="G25" s="107">
        <v>9529382000</v>
      </c>
      <c r="H25" s="107">
        <v>125723542702</v>
      </c>
      <c r="I25" s="105"/>
      <c r="J25" s="105">
        <f t="shared" si="2"/>
        <v>1.5407108087155794</v>
      </c>
      <c r="K25" s="105">
        <f>H25/143978805544</f>
        <v>0.8732086797565412</v>
      </c>
      <c r="L25" s="195"/>
      <c r="M25" s="6">
        <v>2655059416</v>
      </c>
      <c r="N25" s="6">
        <v>51097913041</v>
      </c>
    </row>
    <row r="26" spans="1:14" ht="17.25" customHeight="1">
      <c r="A26" s="98">
        <v>5</v>
      </c>
      <c r="B26" s="106" t="s">
        <v>138</v>
      </c>
      <c r="C26" s="216"/>
      <c r="D26" s="215">
        <v>16327000000</v>
      </c>
      <c r="E26" s="107">
        <f>H26-6265701516</f>
        <v>1808122651</v>
      </c>
      <c r="F26" s="105">
        <f t="shared" si="1"/>
        <v>0.11074432847430636</v>
      </c>
      <c r="G26" s="107">
        <v>244932342</v>
      </c>
      <c r="H26" s="107">
        <v>8073824167</v>
      </c>
      <c r="I26" s="105"/>
      <c r="J26" s="105">
        <f t="shared" si="2"/>
        <v>0.49450751313774727</v>
      </c>
      <c r="K26" s="105">
        <f>H26/15487489601</f>
        <v>0.5213126449155896</v>
      </c>
      <c r="L26" s="195"/>
      <c r="M26" s="6">
        <v>12003992813</v>
      </c>
      <c r="N26" s="6">
        <v>4238957955</v>
      </c>
    </row>
    <row r="27" spans="1:14" ht="18.75" customHeight="1">
      <c r="A27" s="98">
        <v>6</v>
      </c>
      <c r="B27" s="106" t="s">
        <v>139</v>
      </c>
      <c r="C27" s="216"/>
      <c r="D27" s="215">
        <v>3187000000</v>
      </c>
      <c r="E27" s="107">
        <f>H27-978206421</f>
        <v>312774244</v>
      </c>
      <c r="F27" s="105">
        <f t="shared" si="1"/>
        <v>0.09814064763100094</v>
      </c>
      <c r="G27" s="107">
        <v>205926294</v>
      </c>
      <c r="H27" s="107">
        <v>1290980665</v>
      </c>
      <c r="I27" s="105"/>
      <c r="J27" s="105">
        <f t="shared" si="2"/>
        <v>0.4050770834640728</v>
      </c>
      <c r="K27" s="105">
        <f>H27/3641209418</f>
        <v>0.3545472168170691</v>
      </c>
      <c r="L27" s="195"/>
      <c r="M27" s="6">
        <v>629512007</v>
      </c>
      <c r="N27" s="6">
        <v>583092194</v>
      </c>
    </row>
    <row r="28" spans="1:14" ht="15">
      <c r="A28" s="98">
        <v>7</v>
      </c>
      <c r="B28" s="106" t="s">
        <v>140</v>
      </c>
      <c r="C28" s="216"/>
      <c r="D28" s="215">
        <v>2431000000</v>
      </c>
      <c r="E28" s="107">
        <f>H28-1239991781</f>
        <v>583765884</v>
      </c>
      <c r="F28" s="105">
        <f t="shared" si="1"/>
        <v>0.24013405347593583</v>
      </c>
      <c r="G28" s="107">
        <v>133305701</v>
      </c>
      <c r="H28" s="107">
        <v>1823757665</v>
      </c>
      <c r="I28" s="105"/>
      <c r="J28" s="105">
        <f t="shared" si="2"/>
        <v>0.750208829699712</v>
      </c>
      <c r="K28" s="105">
        <f>H28/734831363</f>
        <v>2.481872381650101</v>
      </c>
      <c r="L28" s="195"/>
      <c r="M28" s="6">
        <v>289498397</v>
      </c>
      <c r="N28" s="6">
        <v>982811995</v>
      </c>
    </row>
    <row r="29" spans="1:14" ht="15">
      <c r="A29" s="98">
        <v>8</v>
      </c>
      <c r="B29" s="106" t="s">
        <v>141</v>
      </c>
      <c r="C29" s="216">
        <v>335205000000</v>
      </c>
      <c r="D29" s="215">
        <v>530483000000</v>
      </c>
      <c r="E29" s="107">
        <f>H29-263320308701</f>
        <v>125895477640</v>
      </c>
      <c r="F29" s="105">
        <f t="shared" si="1"/>
        <v>0.23732236026413664</v>
      </c>
      <c r="G29" s="107">
        <v>29477122508</v>
      </c>
      <c r="H29" s="107">
        <v>389215786341</v>
      </c>
      <c r="I29" s="105"/>
      <c r="J29" s="105">
        <f t="shared" si="2"/>
        <v>0.733700771449792</v>
      </c>
      <c r="K29" s="105">
        <f>H29/171421419194</f>
        <v>2.270520149529967</v>
      </c>
      <c r="L29" s="195"/>
      <c r="M29" s="6">
        <v>65307830856</v>
      </c>
      <c r="N29" s="6">
        <v>73035939495</v>
      </c>
    </row>
    <row r="30" spans="1:14" ht="15">
      <c r="A30" s="98">
        <v>9</v>
      </c>
      <c r="B30" s="106" t="s">
        <v>142</v>
      </c>
      <c r="C30" s="216"/>
      <c r="D30" s="215">
        <v>296919000000</v>
      </c>
      <c r="E30" s="107">
        <f>H30-122030122763</f>
        <v>29891654854</v>
      </c>
      <c r="F30" s="105">
        <f t="shared" si="1"/>
        <v>0.10067275874565117</v>
      </c>
      <c r="G30" s="107">
        <v>8251335707</v>
      </c>
      <c r="H30" s="107">
        <v>151921777617</v>
      </c>
      <c r="I30" s="105"/>
      <c r="J30" s="105">
        <f t="shared" si="2"/>
        <v>0.511660680579552</v>
      </c>
      <c r="K30" s="105">
        <f>H30/166767513513</f>
        <v>0.9109794492747969</v>
      </c>
      <c r="L30" s="195"/>
      <c r="M30" s="6">
        <v>64588080918</v>
      </c>
      <c r="N30" s="6">
        <v>77907450948</v>
      </c>
    </row>
    <row r="31" spans="1:14" ht="15">
      <c r="A31" s="98">
        <v>10</v>
      </c>
      <c r="B31" s="106" t="s">
        <v>143</v>
      </c>
      <c r="C31" s="216"/>
      <c r="D31" s="215">
        <v>101082000000</v>
      </c>
      <c r="E31" s="107">
        <f>H31-56528896252</f>
        <v>21352075975</v>
      </c>
      <c r="F31" s="105">
        <f t="shared" si="1"/>
        <v>0.21123519494074117</v>
      </c>
      <c r="G31" s="107">
        <v>4613955250</v>
      </c>
      <c r="H31" s="107">
        <v>77880972227</v>
      </c>
      <c r="I31" s="105"/>
      <c r="J31" s="105">
        <f t="shared" si="2"/>
        <v>0.7704732022219584</v>
      </c>
      <c r="K31" s="105">
        <f>H31/71510441093</f>
        <v>1.089085328472734</v>
      </c>
      <c r="L31" s="195"/>
      <c r="M31" s="6">
        <v>40250395188</v>
      </c>
      <c r="N31" s="6">
        <v>42104152232</v>
      </c>
    </row>
    <row r="32" spans="1:14" ht="15">
      <c r="A32" s="98">
        <v>11</v>
      </c>
      <c r="B32" s="108" t="s">
        <v>144</v>
      </c>
      <c r="C32" s="216"/>
      <c r="D32" s="215">
        <v>392444000000</v>
      </c>
      <c r="E32" s="107">
        <f>H32-189894888587</f>
        <v>42473964964</v>
      </c>
      <c r="F32" s="105">
        <f t="shared" si="1"/>
        <v>0.10822936511706129</v>
      </c>
      <c r="G32" s="107">
        <v>-2007320000</v>
      </c>
      <c r="H32" s="107">
        <v>232368853551</v>
      </c>
      <c r="I32" s="105"/>
      <c r="J32" s="105">
        <f t="shared" si="2"/>
        <v>0.5921070357834494</v>
      </c>
      <c r="K32" s="105">
        <f>H32/348750163080</f>
        <v>0.66629030793513</v>
      </c>
      <c r="L32" s="195"/>
      <c r="M32" s="6">
        <v>70389636536</v>
      </c>
      <c r="N32" s="6">
        <v>76740060572</v>
      </c>
    </row>
    <row r="33" spans="1:14" ht="15">
      <c r="A33" s="98">
        <v>12</v>
      </c>
      <c r="B33" s="109" t="s">
        <v>145</v>
      </c>
      <c r="C33" s="217"/>
      <c r="D33" s="218">
        <v>5000000000</v>
      </c>
      <c r="E33" s="213">
        <f>H33-281531600</f>
        <v>407400000</v>
      </c>
      <c r="F33" s="111"/>
      <c r="G33" s="110"/>
      <c r="H33" s="102">
        <v>688931600</v>
      </c>
      <c r="I33" s="111"/>
      <c r="J33" s="111">
        <f t="shared" si="2"/>
        <v>0.13778632</v>
      </c>
      <c r="K33" s="111">
        <f>H33/81531600</f>
        <v>8.449872196792409</v>
      </c>
      <c r="L33" s="195"/>
      <c r="M33" s="6">
        <v>0</v>
      </c>
      <c r="N33" s="6">
        <v>0</v>
      </c>
    </row>
    <row r="34" spans="1:14" ht="15">
      <c r="A34" s="112" t="s">
        <v>146</v>
      </c>
      <c r="B34" s="112" t="s">
        <v>147</v>
      </c>
      <c r="C34" s="219"/>
      <c r="D34" s="113">
        <f>D36</f>
        <v>599923000000</v>
      </c>
      <c r="E34" s="113">
        <f>E35+E36</f>
        <v>92870012135</v>
      </c>
      <c r="F34" s="114">
        <f t="shared" si="1"/>
        <v>0.15480321997156302</v>
      </c>
      <c r="G34" s="113">
        <f>G35+G36</f>
        <v>24167273517</v>
      </c>
      <c r="H34" s="253">
        <f>H35+H36</f>
        <v>539315895089</v>
      </c>
      <c r="I34" s="254">
        <f>H34/D34*100%</f>
        <v>0.898975193631516</v>
      </c>
      <c r="J34" s="255">
        <f t="shared" si="2"/>
        <v>0.898975193631516</v>
      </c>
      <c r="K34" s="255">
        <f>H34/682505042813</f>
        <v>0.7902006011064265</v>
      </c>
      <c r="L34" s="196"/>
      <c r="M34" s="187">
        <v>130778080133</v>
      </c>
      <c r="N34" s="6"/>
    </row>
    <row r="35" spans="1:14" ht="15">
      <c r="A35" s="115">
        <v>1</v>
      </c>
      <c r="B35" s="116" t="s">
        <v>43</v>
      </c>
      <c r="C35" s="219"/>
      <c r="D35" s="97">
        <v>0</v>
      </c>
      <c r="E35" s="97">
        <f>H35-0</f>
        <v>1041614933</v>
      </c>
      <c r="F35" s="89"/>
      <c r="G35" s="97"/>
      <c r="H35" s="117">
        <v>1041614933</v>
      </c>
      <c r="I35" s="118"/>
      <c r="J35" s="89"/>
      <c r="K35" s="89">
        <f>H35/10533971811</f>
        <v>0.09888149994025079</v>
      </c>
      <c r="L35" s="197"/>
      <c r="M35" s="201">
        <v>9344468011</v>
      </c>
      <c r="N35" s="6"/>
    </row>
    <row r="36" spans="1:14" ht="15">
      <c r="A36" s="119">
        <v>2</v>
      </c>
      <c r="B36" s="112" t="s">
        <v>32</v>
      </c>
      <c r="C36" s="219"/>
      <c r="D36" s="75">
        <f>SUM(D37:D46)</f>
        <v>599923000000</v>
      </c>
      <c r="E36" s="75">
        <f>SUM(E37:E46)</f>
        <v>91828397202</v>
      </c>
      <c r="F36" s="114">
        <f t="shared" si="1"/>
        <v>0.15306697226477398</v>
      </c>
      <c r="G36" s="75">
        <f>SUM(G37:G46)</f>
        <v>24167273517</v>
      </c>
      <c r="H36" s="75">
        <f>SUM(H37:H46)</f>
        <v>538274280156</v>
      </c>
      <c r="I36" s="75">
        <f>SUM(I37:I46)</f>
        <v>0</v>
      </c>
      <c r="J36" s="114">
        <f aca="true" t="shared" si="3" ref="J36:J41">H36/D36*100%</f>
        <v>0.897238945924727</v>
      </c>
      <c r="K36" s="114">
        <f>H36/671971071002</f>
        <v>0.8010378770522963</v>
      </c>
      <c r="L36" s="196"/>
      <c r="M36" s="187">
        <v>121433612122</v>
      </c>
      <c r="N36" s="6"/>
    </row>
    <row r="37" spans="1:14" ht="15">
      <c r="A37" s="98" t="s">
        <v>148</v>
      </c>
      <c r="B37" s="99" t="s">
        <v>135</v>
      </c>
      <c r="C37" s="220"/>
      <c r="D37" s="120">
        <v>24298000000</v>
      </c>
      <c r="E37" s="120">
        <f>H37-12496589173</f>
        <v>7609584211</v>
      </c>
      <c r="F37" s="122">
        <f t="shared" si="1"/>
        <v>0.3131773895382336</v>
      </c>
      <c r="G37" s="120">
        <v>1231473010</v>
      </c>
      <c r="H37" s="120">
        <v>20106173384</v>
      </c>
      <c r="I37" s="121"/>
      <c r="J37" s="122">
        <f t="shared" si="3"/>
        <v>0.8274826481191868</v>
      </c>
      <c r="K37" s="122">
        <f>H37/17197558109</f>
        <v>1.1691295506353216</v>
      </c>
      <c r="L37" s="198"/>
      <c r="M37" s="6">
        <v>8530230386</v>
      </c>
      <c r="N37" s="6">
        <v>7418726681</v>
      </c>
    </row>
    <row r="38" spans="1:14" ht="15">
      <c r="A38" s="98" t="s">
        <v>149</v>
      </c>
      <c r="B38" s="103" t="s">
        <v>31</v>
      </c>
      <c r="C38" s="221"/>
      <c r="D38" s="107">
        <v>48045000000</v>
      </c>
      <c r="E38" s="107">
        <f>H38-30339374213</f>
        <v>11754426579</v>
      </c>
      <c r="F38" s="124">
        <f t="shared" si="1"/>
        <v>0.24465452344676866</v>
      </c>
      <c r="G38" s="107">
        <v>3949611156</v>
      </c>
      <c r="H38" s="107">
        <v>42093800792</v>
      </c>
      <c r="I38" s="123"/>
      <c r="J38" s="124">
        <f t="shared" si="3"/>
        <v>0.8761328086585493</v>
      </c>
      <c r="K38" s="124">
        <f>H38/32860507003</f>
        <v>1.2809845200549415</v>
      </c>
      <c r="L38" s="198"/>
      <c r="M38" s="6">
        <v>16585626133</v>
      </c>
      <c r="N38" s="6">
        <v>17340624852</v>
      </c>
    </row>
    <row r="39" spans="1:14" ht="15">
      <c r="A39" s="98" t="s">
        <v>150</v>
      </c>
      <c r="B39" s="125" t="s">
        <v>138</v>
      </c>
      <c r="C39" s="221"/>
      <c r="D39" s="107">
        <v>1212000000</v>
      </c>
      <c r="E39" s="107">
        <f>H39-674012800</f>
        <v>230453398</v>
      </c>
      <c r="F39" s="124">
        <f t="shared" si="1"/>
        <v>0.19014306765676567</v>
      </c>
      <c r="G39" s="107">
        <v>58376340</v>
      </c>
      <c r="H39" s="107">
        <v>904466198</v>
      </c>
      <c r="I39" s="123"/>
      <c r="J39" s="124">
        <f t="shared" si="3"/>
        <v>0.7462592392739273</v>
      </c>
      <c r="K39" s="124">
        <f>H39/695351752</f>
        <v>1.300731889146085</v>
      </c>
      <c r="L39" s="198"/>
      <c r="M39" s="6">
        <v>521776002</v>
      </c>
      <c r="N39" s="6">
        <v>449080770</v>
      </c>
    </row>
    <row r="40" spans="1:14" ht="15">
      <c r="A40" s="98" t="s">
        <v>151</v>
      </c>
      <c r="B40" s="125" t="s">
        <v>139</v>
      </c>
      <c r="C40" s="221"/>
      <c r="D40" s="107">
        <v>1004000000</v>
      </c>
      <c r="E40" s="107">
        <f>H40-170162082</f>
        <v>371568434</v>
      </c>
      <c r="F40" s="124">
        <f t="shared" si="1"/>
        <v>0.37008808167330676</v>
      </c>
      <c r="G40" s="107">
        <v>5198446</v>
      </c>
      <c r="H40" s="107">
        <v>541730516</v>
      </c>
      <c r="I40" s="123"/>
      <c r="J40" s="124">
        <f t="shared" si="3"/>
        <v>0.5395722270916334</v>
      </c>
      <c r="K40" s="124">
        <f>H40/434655032</f>
        <v>1.2463458975898847</v>
      </c>
      <c r="L40" s="198"/>
      <c r="M40" s="6">
        <v>211437387</v>
      </c>
      <c r="N40" s="6">
        <v>98694997</v>
      </c>
    </row>
    <row r="41" spans="1:14" ht="15">
      <c r="A41" s="98" t="s">
        <v>152</v>
      </c>
      <c r="B41" s="125" t="s">
        <v>140</v>
      </c>
      <c r="C41" s="221"/>
      <c r="D41" s="107">
        <v>1146000000</v>
      </c>
      <c r="E41" s="107">
        <f>H41-388169303</f>
        <v>229001210</v>
      </c>
      <c r="F41" s="124">
        <f t="shared" si="1"/>
        <v>0.1998265357766143</v>
      </c>
      <c r="G41" s="107">
        <v>67812200</v>
      </c>
      <c r="H41" s="107">
        <v>617170513</v>
      </c>
      <c r="I41" s="123"/>
      <c r="J41" s="124">
        <f t="shared" si="3"/>
        <v>0.538543205061082</v>
      </c>
      <c r="K41" s="124">
        <f>H41/88220773</f>
        <v>6.995750456641318</v>
      </c>
      <c r="L41" s="198"/>
      <c r="M41" s="6">
        <v>67340000</v>
      </c>
      <c r="N41" s="6">
        <v>282630300</v>
      </c>
    </row>
    <row r="42" spans="1:14" ht="15">
      <c r="A42" s="98" t="s">
        <v>153</v>
      </c>
      <c r="B42" s="125" t="s">
        <v>141</v>
      </c>
      <c r="C42" s="221"/>
      <c r="D42" s="107">
        <v>0</v>
      </c>
      <c r="E42" s="107">
        <f>H42-144633440</f>
        <v>69066922</v>
      </c>
      <c r="F42" s="124">
        <v>0</v>
      </c>
      <c r="G42" s="107">
        <v>4800000</v>
      </c>
      <c r="H42" s="107">
        <v>213700362</v>
      </c>
      <c r="I42" s="123"/>
      <c r="J42" s="124">
        <v>0</v>
      </c>
      <c r="K42" s="124">
        <f>H42/188700550</f>
        <v>1.1324840441641533</v>
      </c>
      <c r="L42" s="198"/>
      <c r="M42" s="6">
        <v>121997100</v>
      </c>
      <c r="N42" s="6">
        <v>32902210</v>
      </c>
    </row>
    <row r="43" spans="1:14" ht="15">
      <c r="A43" s="98" t="s">
        <v>154</v>
      </c>
      <c r="B43" s="125" t="s">
        <v>142</v>
      </c>
      <c r="C43" s="221"/>
      <c r="D43" s="107">
        <v>3380000000</v>
      </c>
      <c r="E43" s="107">
        <f>H43-814043049</f>
        <v>688636979</v>
      </c>
      <c r="F43" s="124">
        <f t="shared" si="1"/>
        <v>0.20373875118343196</v>
      </c>
      <c r="G43" s="107">
        <v>88927050</v>
      </c>
      <c r="H43" s="107">
        <v>1502680028</v>
      </c>
      <c r="I43" s="123"/>
      <c r="J43" s="124">
        <f>H43/D43*100%</f>
        <v>0.4445798899408284</v>
      </c>
      <c r="K43" s="124">
        <f>H43/529754511</f>
        <v>2.836559192603081</v>
      </c>
      <c r="L43" s="198"/>
      <c r="M43" s="6">
        <v>305253975</v>
      </c>
      <c r="N43" s="6">
        <v>331660469</v>
      </c>
    </row>
    <row r="44" spans="1:14" ht="15">
      <c r="A44" s="98" t="s">
        <v>155</v>
      </c>
      <c r="B44" s="125" t="s">
        <v>156</v>
      </c>
      <c r="C44" s="221"/>
      <c r="D44" s="107">
        <v>482604000000</v>
      </c>
      <c r="E44" s="107">
        <f>H44-381338917550</f>
        <v>59963484996</v>
      </c>
      <c r="F44" s="124">
        <f t="shared" si="1"/>
        <v>0.12424987152199318</v>
      </c>
      <c r="G44" s="107">
        <v>15205436308</v>
      </c>
      <c r="H44" s="107">
        <v>441302402546</v>
      </c>
      <c r="I44" s="123"/>
      <c r="J44" s="124">
        <f>H44/D44*100%</f>
        <v>0.9144192807063348</v>
      </c>
      <c r="K44" s="124">
        <f>H44/561819542972</f>
        <v>0.7854878102166583</v>
      </c>
      <c r="L44" s="198"/>
      <c r="M44" s="6">
        <v>87025631594</v>
      </c>
      <c r="N44" s="6">
        <v>70786717841</v>
      </c>
    </row>
    <row r="45" spans="1:14" ht="15">
      <c r="A45" s="98" t="s">
        <v>157</v>
      </c>
      <c r="B45" s="126" t="s">
        <v>144</v>
      </c>
      <c r="C45" s="221"/>
      <c r="D45" s="107">
        <v>939000000</v>
      </c>
      <c r="E45" s="107">
        <f>H45-425671345</f>
        <v>113102700</v>
      </c>
      <c r="F45" s="127">
        <f t="shared" si="1"/>
        <v>0.12045015974440895</v>
      </c>
      <c r="G45" s="107">
        <v>21063852</v>
      </c>
      <c r="H45" s="107">
        <v>538774045</v>
      </c>
      <c r="I45" s="123"/>
      <c r="J45" s="127">
        <f>H45/D45*100%</f>
        <v>0.5737742758253461</v>
      </c>
      <c r="K45" s="127">
        <f>H45/901504800</f>
        <v>0.5976385760785744</v>
      </c>
      <c r="L45" s="198"/>
      <c r="M45" s="6">
        <v>190650800</v>
      </c>
      <c r="N45" s="6">
        <v>133259972</v>
      </c>
    </row>
    <row r="46" spans="1:14" ht="15">
      <c r="A46" s="98" t="s">
        <v>158</v>
      </c>
      <c r="B46" s="128" t="s">
        <v>145</v>
      </c>
      <c r="C46" s="222"/>
      <c r="D46" s="110">
        <v>37295000000</v>
      </c>
      <c r="E46" s="129">
        <f>H46-19654309999</f>
        <v>10799071773</v>
      </c>
      <c r="F46" s="131">
        <f t="shared" si="1"/>
        <v>0.28955816525003353</v>
      </c>
      <c r="G46" s="110">
        <v>3534575155</v>
      </c>
      <c r="H46" s="129">
        <v>30453381772</v>
      </c>
      <c r="I46" s="130"/>
      <c r="J46" s="131">
        <f>H46/D46*100%</f>
        <v>0.81655400917013</v>
      </c>
      <c r="K46" s="131">
        <f>H46/57255275500</f>
        <v>0.5318877868642864</v>
      </c>
      <c r="L46" s="198"/>
      <c r="M46" s="6">
        <v>7873668745</v>
      </c>
      <c r="N46" s="6">
        <v>11918478843</v>
      </c>
    </row>
    <row r="47" spans="1:14" ht="33" customHeight="1">
      <c r="A47" s="112" t="s">
        <v>9</v>
      </c>
      <c r="B47" s="132" t="s">
        <v>189</v>
      </c>
      <c r="C47" s="219"/>
      <c r="D47" s="96">
        <v>69759000000</v>
      </c>
      <c r="E47" s="96">
        <f>H47-262660000</f>
        <v>2495845000</v>
      </c>
      <c r="F47" s="179"/>
      <c r="G47" s="75"/>
      <c r="H47" s="133">
        <v>2758505000</v>
      </c>
      <c r="I47" s="118"/>
      <c r="J47" s="71"/>
      <c r="K47" s="71">
        <f>H47/91930711960</f>
        <v>0.03000634870749455</v>
      </c>
      <c r="L47" s="194"/>
      <c r="M47" s="6"/>
      <c r="N47" s="6"/>
    </row>
    <row r="48" spans="1:14" ht="33" customHeight="1">
      <c r="A48" s="112" t="s">
        <v>13</v>
      </c>
      <c r="B48" s="132" t="s">
        <v>159</v>
      </c>
      <c r="C48" s="91"/>
      <c r="D48" s="78">
        <v>11000000000</v>
      </c>
      <c r="E48" s="78">
        <f>H48-11000000000</f>
        <v>0</v>
      </c>
      <c r="F48" s="91"/>
      <c r="G48" s="75">
        <v>0</v>
      </c>
      <c r="H48" s="133">
        <v>11000000000</v>
      </c>
      <c r="I48" s="118"/>
      <c r="J48" s="71"/>
      <c r="K48" s="71">
        <f>H48/11000000000</f>
        <v>1</v>
      </c>
      <c r="L48" s="194"/>
      <c r="M48" s="6">
        <v>10000000000</v>
      </c>
      <c r="N48" s="6"/>
    </row>
    <row r="49" spans="1:14" s="76" customFormat="1" ht="27.75">
      <c r="A49" s="134" t="s">
        <v>53</v>
      </c>
      <c r="B49" s="135" t="s">
        <v>160</v>
      </c>
      <c r="C49" s="136"/>
      <c r="D49" s="75"/>
      <c r="E49" s="175"/>
      <c r="F49" s="177"/>
      <c r="G49" s="137">
        <v>0</v>
      </c>
      <c r="H49" s="137">
        <v>0</v>
      </c>
      <c r="I49" s="133"/>
      <c r="J49" s="84"/>
      <c r="K49" s="84"/>
      <c r="L49" s="193"/>
      <c r="M49" s="186">
        <v>297065407748</v>
      </c>
      <c r="N49" s="186"/>
    </row>
    <row r="50" spans="1:14" ht="15">
      <c r="A50" s="112" t="s">
        <v>2</v>
      </c>
      <c r="B50" s="112" t="s">
        <v>161</v>
      </c>
      <c r="C50" s="219">
        <f>C51</f>
        <v>221767000000</v>
      </c>
      <c r="D50" s="96">
        <f>D51</f>
        <v>0</v>
      </c>
      <c r="E50" s="118">
        <f>E51</f>
        <v>74485126508</v>
      </c>
      <c r="F50" s="180"/>
      <c r="G50" s="96">
        <f>G51</f>
        <v>31568000000</v>
      </c>
      <c r="H50" s="118">
        <f>H51</f>
        <v>477577292378</v>
      </c>
      <c r="I50" s="118"/>
      <c r="J50" s="71"/>
      <c r="K50" s="71">
        <f>H50/753647937000</f>
        <v>0.6336875203016711</v>
      </c>
      <c r="L50" s="194"/>
      <c r="M50" s="6">
        <v>54105000000</v>
      </c>
      <c r="N50" s="6"/>
    </row>
    <row r="51" spans="1:14" ht="15">
      <c r="A51" s="138"/>
      <c r="B51" s="139" t="s">
        <v>162</v>
      </c>
      <c r="C51" s="252">
        <f>C53</f>
        <v>221767000000</v>
      </c>
      <c r="D51" s="140"/>
      <c r="E51" s="141">
        <f>SUM(E52:E53)</f>
        <v>74485126508</v>
      </c>
      <c r="F51" s="140"/>
      <c r="G51" s="141">
        <f>SUM(G52:G53)</f>
        <v>31568000000</v>
      </c>
      <c r="H51" s="141">
        <f>SUM(H52:H53)</f>
        <v>477577292378</v>
      </c>
      <c r="I51" s="142"/>
      <c r="J51" s="142"/>
      <c r="K51" s="142"/>
      <c r="L51" s="199"/>
      <c r="M51" s="6">
        <v>54105000000</v>
      </c>
      <c r="N51" s="6"/>
    </row>
    <row r="52" spans="1:14" ht="15">
      <c r="A52" s="143">
        <v>1</v>
      </c>
      <c r="B52" s="143" t="s">
        <v>163</v>
      </c>
      <c r="C52" s="147"/>
      <c r="D52" s="140"/>
      <c r="E52" s="140">
        <f>H52-98151017000</f>
        <v>48147000000</v>
      </c>
      <c r="F52" s="140"/>
      <c r="G52" s="140">
        <v>31568000000</v>
      </c>
      <c r="H52" s="140">
        <v>146298017000</v>
      </c>
      <c r="I52" s="144"/>
      <c r="J52" s="144"/>
      <c r="K52" s="256">
        <f>H52/114566000000</f>
        <v>1.2769758654400083</v>
      </c>
      <c r="L52" s="199"/>
      <c r="M52" s="6">
        <v>47847000000</v>
      </c>
      <c r="N52" s="6">
        <v>58062000000</v>
      </c>
    </row>
    <row r="53" spans="1:13" ht="15">
      <c r="A53" s="143">
        <v>2</v>
      </c>
      <c r="B53" s="143" t="s">
        <v>164</v>
      </c>
      <c r="C53" s="145">
        <v>221767000000</v>
      </c>
      <c r="D53" s="146"/>
      <c r="E53" s="146">
        <f>H53-304941148870</f>
        <v>26338126508</v>
      </c>
      <c r="F53" s="146"/>
      <c r="G53" s="147"/>
      <c r="H53" s="147">
        <v>331279275378</v>
      </c>
      <c r="I53" s="140"/>
      <c r="J53" s="142"/>
      <c r="K53" s="256">
        <f>H53/639081937000</f>
        <v>0.5183674521190543</v>
      </c>
      <c r="L53" s="199"/>
      <c r="M53" s="6">
        <v>6258000000</v>
      </c>
    </row>
    <row r="54" spans="1:14" ht="15">
      <c r="A54" s="94" t="s">
        <v>11</v>
      </c>
      <c r="B54" s="94" t="s">
        <v>56</v>
      </c>
      <c r="C54" s="95"/>
      <c r="D54" s="96">
        <v>0</v>
      </c>
      <c r="E54" s="96">
        <f>H54-390342830873</f>
        <v>-9996860723</v>
      </c>
      <c r="F54" s="179"/>
      <c r="G54" s="96">
        <v>0</v>
      </c>
      <c r="H54" s="118">
        <v>380345970150</v>
      </c>
      <c r="I54" s="118"/>
      <c r="J54" s="118"/>
      <c r="K54" s="118"/>
      <c r="L54" s="200"/>
      <c r="M54" s="6">
        <v>7124756038</v>
      </c>
      <c r="N54" s="65">
        <v>370088161274</v>
      </c>
    </row>
    <row r="55" spans="1:13" ht="15">
      <c r="A55" s="148" t="s">
        <v>28</v>
      </c>
      <c r="B55" s="149" t="s">
        <v>165</v>
      </c>
      <c r="C55" s="150">
        <v>56900000000</v>
      </c>
      <c r="D55" s="151">
        <f>C55</f>
        <v>56900000000</v>
      </c>
      <c r="E55" s="151"/>
      <c r="F55" s="181"/>
      <c r="G55" s="152"/>
      <c r="H55" s="153">
        <v>0</v>
      </c>
      <c r="I55" s="153"/>
      <c r="J55" s="153"/>
      <c r="K55" s="153"/>
      <c r="L55" s="200"/>
      <c r="M55" s="6"/>
    </row>
    <row r="56" spans="1:13" ht="15">
      <c r="A56" s="66"/>
      <c r="B56" s="143" t="s">
        <v>134</v>
      </c>
      <c r="C56" s="154"/>
      <c r="D56" s="140">
        <v>51365000000</v>
      </c>
      <c r="E56" s="146"/>
      <c r="F56" s="146"/>
      <c r="G56" s="155"/>
      <c r="H56" s="156"/>
      <c r="I56" s="156"/>
      <c r="J56" s="156"/>
      <c r="K56" s="156"/>
      <c r="L56" s="200"/>
      <c r="M56" s="6"/>
    </row>
    <row r="57" spans="1:13" ht="15">
      <c r="A57" s="66"/>
      <c r="B57" s="143" t="s">
        <v>166</v>
      </c>
      <c r="C57" s="154"/>
      <c r="D57" s="140">
        <v>5535000000</v>
      </c>
      <c r="E57" s="146"/>
      <c r="F57" s="146"/>
      <c r="G57" s="155"/>
      <c r="H57" s="156"/>
      <c r="I57" s="156"/>
      <c r="J57" s="156"/>
      <c r="K57" s="156"/>
      <c r="L57" s="200"/>
      <c r="M57" s="6"/>
    </row>
    <row r="58" spans="1:13" ht="15">
      <c r="A58" s="157" t="s">
        <v>167</v>
      </c>
      <c r="B58" s="158" t="s">
        <v>40</v>
      </c>
      <c r="C58" s="159">
        <v>0</v>
      </c>
      <c r="D58" s="160"/>
      <c r="E58" s="160"/>
      <c r="F58" s="182"/>
      <c r="G58" s="161"/>
      <c r="H58" s="162">
        <v>0</v>
      </c>
      <c r="I58" s="162"/>
      <c r="J58" s="162"/>
      <c r="K58" s="162"/>
      <c r="L58" s="200"/>
      <c r="M58" s="6"/>
    </row>
    <row r="59" spans="1:13" ht="15.75" customHeight="1" hidden="1">
      <c r="A59" s="148" t="s">
        <v>11</v>
      </c>
      <c r="B59" s="148" t="s">
        <v>168</v>
      </c>
      <c r="C59" s="163"/>
      <c r="D59" s="152">
        <v>0</v>
      </c>
      <c r="E59" s="152"/>
      <c r="F59" s="183"/>
      <c r="G59" s="152"/>
      <c r="H59" s="153">
        <v>427764</v>
      </c>
      <c r="I59" s="153"/>
      <c r="J59" s="153"/>
      <c r="K59" s="153"/>
      <c r="L59" s="200"/>
      <c r="M59" s="6"/>
    </row>
    <row r="60" spans="1:12" ht="15.75" customHeight="1" hidden="1">
      <c r="A60" s="157" t="s">
        <v>28</v>
      </c>
      <c r="B60" s="157" t="s">
        <v>169</v>
      </c>
      <c r="C60" s="164"/>
      <c r="D60" s="161">
        <v>0</v>
      </c>
      <c r="E60" s="161"/>
      <c r="F60" s="184"/>
      <c r="G60" s="161"/>
      <c r="H60" s="162"/>
      <c r="I60" s="162"/>
      <c r="J60" s="162"/>
      <c r="K60" s="162"/>
      <c r="L60" s="200"/>
    </row>
    <row r="61" spans="1:10" ht="15" hidden="1">
      <c r="A61" s="165"/>
      <c r="B61" s="166"/>
      <c r="C61" s="167"/>
      <c r="D61" s="287"/>
      <c r="E61" s="288"/>
      <c r="F61" s="288"/>
      <c r="G61" s="288"/>
      <c r="H61" s="288"/>
      <c r="I61" s="288"/>
      <c r="J61" s="288"/>
    </row>
    <row r="62" spans="1:10" ht="15" hidden="1">
      <c r="A62" s="168"/>
      <c r="B62" s="169"/>
      <c r="C62" s="170"/>
      <c r="D62" s="287">
        <v>123601</v>
      </c>
      <c r="E62" s="288"/>
      <c r="F62" s="288"/>
      <c r="G62" s="288"/>
      <c r="H62" s="288"/>
      <c r="I62" s="288"/>
      <c r="J62" s="288"/>
    </row>
    <row r="63" spans="1:12" ht="15" hidden="1">
      <c r="A63" s="157" t="s">
        <v>170</v>
      </c>
      <c r="B63" s="158" t="s">
        <v>171</v>
      </c>
      <c r="C63" s="159"/>
      <c r="D63" s="161">
        <v>0</v>
      </c>
      <c r="E63" s="161">
        <f>H63/3</f>
        <v>0</v>
      </c>
      <c r="F63" s="184"/>
      <c r="G63" s="161">
        <v>87240000</v>
      </c>
      <c r="H63" s="162">
        <v>0</v>
      </c>
      <c r="I63" s="162"/>
      <c r="J63" s="162"/>
      <c r="K63" s="162"/>
      <c r="L63" s="200"/>
    </row>
    <row r="64" spans="4:10" ht="15">
      <c r="D64" s="289"/>
      <c r="E64" s="289"/>
      <c r="F64" s="289"/>
      <c r="G64" s="289"/>
      <c r="H64" s="289"/>
      <c r="I64" s="289"/>
      <c r="J64" s="289"/>
    </row>
    <row r="65" ht="15">
      <c r="B65" s="171"/>
    </row>
    <row r="69" spans="2:3" ht="15">
      <c r="B69" s="172"/>
      <c r="C69"/>
    </row>
    <row r="70" spans="2:3" ht="15">
      <c r="B70" s="172"/>
      <c r="C70"/>
    </row>
    <row r="71" spans="2:3" ht="15">
      <c r="B71" s="172"/>
      <c r="C71"/>
    </row>
  </sheetData>
  <sheetProtection/>
  <mergeCells count="22">
    <mergeCell ref="A1:B1"/>
    <mergeCell ref="A2:B2"/>
    <mergeCell ref="H9:J9"/>
    <mergeCell ref="D1:J1"/>
    <mergeCell ref="D2:J2"/>
    <mergeCell ref="A10:A11"/>
    <mergeCell ref="B10:B11"/>
    <mergeCell ref="C10:C11"/>
    <mergeCell ref="D10:D11"/>
    <mergeCell ref="G10:G11"/>
    <mergeCell ref="K10:K11"/>
    <mergeCell ref="D61:J61"/>
    <mergeCell ref="D62:J62"/>
    <mergeCell ref="D64:J64"/>
    <mergeCell ref="B5:J5"/>
    <mergeCell ref="B6:J6"/>
    <mergeCell ref="E10:E11"/>
    <mergeCell ref="H8:I8"/>
    <mergeCell ref="F10:F11"/>
    <mergeCell ref="I10:I11"/>
    <mergeCell ref="J10:J11"/>
    <mergeCell ref="H10:H11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VU BH</dc:creator>
  <cp:keywords/>
  <dc:description/>
  <cp:lastModifiedBy>Administrator</cp:lastModifiedBy>
  <cp:lastPrinted>2023-01-11T03:54:00Z</cp:lastPrinted>
  <dcterms:created xsi:type="dcterms:W3CDTF">2017-07-22T05:53:59Z</dcterms:created>
  <dcterms:modified xsi:type="dcterms:W3CDTF">2023-01-11T08:35:25Z</dcterms:modified>
  <cp:category/>
  <cp:version/>
  <cp:contentType/>
  <cp:contentStatus/>
</cp:coreProperties>
</file>